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60" yWindow="15" windowWidth="11340" windowHeight="6540" tabRatio="946" activeTab="0"/>
  </bookViews>
  <sheets>
    <sheet name="Doc" sheetId="1" r:id="rId1"/>
    <sheet name="ANGLEFLEXSEAT" sheetId="2" r:id="rId2"/>
  </sheets>
  <definedNames>
    <definedName name="IND1">#REF!</definedName>
    <definedName name="_xlnm.Print_Area" localSheetId="1">'ANGLEFLEXSEAT'!$A$1:$J$100</definedName>
    <definedName name="_xlnm.Print_Area" localSheetId="0">'Doc'!$A$1:$J$56</definedName>
    <definedName name="Shape">#REF!</definedName>
  </definedNames>
  <calcPr fullCalcOnLoad="1"/>
</workbook>
</file>

<file path=xl/comments2.xml><?xml version="1.0" encoding="utf-8"?>
<comments xmlns="http://schemas.openxmlformats.org/spreadsheetml/2006/main">
  <authors>
    <author>Alex Tomanovich</author>
    <author>TKA</author>
    <author>O'Neal, Inc.</author>
  </authors>
  <commentList>
    <comment ref="AT144" authorId="0">
      <text>
        <r>
          <rPr>
            <b/>
            <sz val="8"/>
            <rFont val="Tahoma"/>
            <family val="2"/>
          </rPr>
          <t xml:space="preserve">                                 TABLE J2.4
</t>
        </r>
        <r>
          <rPr>
            <b/>
            <u val="single"/>
            <sz val="8"/>
            <rFont val="Tahoma"/>
            <family val="2"/>
          </rPr>
          <t xml:space="preserve">                     </t>
        </r>
        <r>
          <rPr>
            <u val="single"/>
            <sz val="8"/>
            <rFont val="Tahoma"/>
            <family val="2"/>
          </rPr>
          <t xml:space="preserve">Minimum Size of Fillet Welds                     </t>
        </r>
        <r>
          <rPr>
            <sz val="8"/>
            <rFont val="Tahoma"/>
            <family val="2"/>
          </rPr>
          <t xml:space="preserve">
Material Thickness of                       Minimum Size of
</t>
        </r>
        <r>
          <rPr>
            <u val="single"/>
            <sz val="8"/>
            <rFont val="Tahoma"/>
            <family val="2"/>
          </rPr>
          <t xml:space="preserve">Thicker Part Joined (in.)                       Fillet Weld (in.) 
</t>
        </r>
        <r>
          <rPr>
            <sz val="8"/>
            <rFont val="Tahoma"/>
            <family val="2"/>
          </rPr>
          <t xml:space="preserve">To 1/4 inclusive                                          1/8
Over 1/4 to 1/2                                         3/16
Over 1/2 to 3/4                                          1/4
Over 3/4                                                    5/16
</t>
        </r>
        <r>
          <rPr>
            <u val="single"/>
            <sz val="8"/>
            <rFont val="Tahoma"/>
            <family val="2"/>
          </rPr>
          <t xml:space="preserve">                  Maximum Size of Fillet Welds (J2.2b)               
</t>
        </r>
        <r>
          <rPr>
            <sz val="8"/>
            <rFont val="Tahoma"/>
            <family val="2"/>
          </rPr>
          <t xml:space="preserve"> Material Thickness of                      Maximum Size of
</t>
        </r>
        <r>
          <rPr>
            <u val="single"/>
            <sz val="8"/>
            <rFont val="Tahoma"/>
            <family val="2"/>
          </rPr>
          <t xml:space="preserve">Thicker Part Joined (in.)                       Fillet Weld (in.)
</t>
        </r>
        <r>
          <rPr>
            <sz val="8"/>
            <rFont val="Tahoma"/>
            <family val="2"/>
          </rPr>
          <t>To 1/4 inclusive                              Not greater than
                                                       thickness of
                                                       material
Over 1/4                                        * Not greater than
                                                       thickness of
                                                       material minus
                                                       1/16th inch.
*Unless the weld is especially designated on the drawings to be built out to obtain full-throat thickness.</t>
        </r>
      </text>
    </comment>
    <comment ref="C22" authorId="1">
      <text>
        <r>
          <rPr>
            <sz val="8"/>
            <rFont val="Tahoma"/>
            <family val="2"/>
          </rPr>
          <t xml:space="preserve">The beam setback or offset distance (a) is typically = 1/4" to 1/2".
(AISC p. 10-85  Shop and Field Practices)
</t>
        </r>
      </text>
    </comment>
    <comment ref="C24" authorId="0">
      <text>
        <r>
          <rPr>
            <b/>
            <sz val="8"/>
            <rFont val="Tahoma"/>
            <family val="2"/>
          </rPr>
          <t xml:space="preserve">                                 TABLE J2.4
</t>
        </r>
        <r>
          <rPr>
            <b/>
            <u val="single"/>
            <sz val="8"/>
            <rFont val="Tahoma"/>
            <family val="2"/>
          </rPr>
          <t xml:space="preserve">                     </t>
        </r>
        <r>
          <rPr>
            <u val="single"/>
            <sz val="8"/>
            <rFont val="Tahoma"/>
            <family val="2"/>
          </rPr>
          <t xml:space="preserve">Minimum Size of Fillet Welds                     </t>
        </r>
        <r>
          <rPr>
            <sz val="8"/>
            <rFont val="Tahoma"/>
            <family val="2"/>
          </rPr>
          <t xml:space="preserve">
Material Thickness of                       Minimum Size of
</t>
        </r>
        <r>
          <rPr>
            <u val="single"/>
            <sz val="8"/>
            <rFont val="Tahoma"/>
            <family val="2"/>
          </rPr>
          <t xml:space="preserve">Thicker Part Joined (in.)                       Fillet Weld (in.) 
</t>
        </r>
        <r>
          <rPr>
            <sz val="8"/>
            <rFont val="Tahoma"/>
            <family val="2"/>
          </rPr>
          <t xml:space="preserve">To 1/4 inclusive                                          1/8
Over 1/4 to 1/2                                         3/16
Over 1/2 to 3/4                                          1/4
Over 3/4                                                    5/16
</t>
        </r>
        <r>
          <rPr>
            <u val="single"/>
            <sz val="8"/>
            <rFont val="Tahoma"/>
            <family val="2"/>
          </rPr>
          <t xml:space="preserve">                  Maximum Size of Fillet Welds (J2.2b)               
</t>
        </r>
        <r>
          <rPr>
            <sz val="8"/>
            <rFont val="Tahoma"/>
            <family val="2"/>
          </rPr>
          <t xml:space="preserve"> Material Thickness of                      Maximum Size of
</t>
        </r>
        <r>
          <rPr>
            <u val="single"/>
            <sz val="8"/>
            <rFont val="Tahoma"/>
            <family val="2"/>
          </rPr>
          <t xml:space="preserve">Thicker Part Joined (in.)                       Fillet Weld (in.)
</t>
        </r>
        <r>
          <rPr>
            <sz val="8"/>
            <rFont val="Tahoma"/>
            <family val="2"/>
          </rPr>
          <t>To 1/4 inclusive                              Not greater than
                                                       thickness of
                                                       material
Over 1/4                                        * Not greater than
                                                       thickness of
                                                       material minus
                                                       1/16th inch.
*Unless the weld is especially designated on the drawings to be built out to obtain full-throat thickness.</t>
        </r>
      </text>
    </comment>
    <comment ref="L17" authorId="2">
      <text>
        <r>
          <rPr>
            <sz val="8"/>
            <rFont val="Tahoma"/>
            <family val="2"/>
          </rPr>
          <t>Member section properties are based on AISC Version 13.0 CD Database (2005) and AISC 13th Edition Manual (2005).</t>
        </r>
      </text>
    </comment>
    <comment ref="CA1" authorId="1">
      <text>
        <r>
          <rPr>
            <b/>
            <sz val="8"/>
            <rFont val="Tahoma"/>
            <family val="0"/>
          </rPr>
          <t xml:space="preserve">     "ANGLEFLEXSEAT.xls"
</t>
        </r>
        <r>
          <rPr>
            <sz val="8"/>
            <rFont val="Tahoma"/>
            <family val="2"/>
          </rPr>
          <t>written by:  David R. Taylor, E.I.T.</t>
        </r>
      </text>
    </comment>
  </commentList>
</comments>
</file>

<file path=xl/sharedStrings.xml><?xml version="1.0" encoding="utf-8"?>
<sst xmlns="http://schemas.openxmlformats.org/spreadsheetml/2006/main" count="1017" uniqueCount="831">
  <si>
    <t>R = Minimum of:  Rwy  or  Rwc</t>
  </si>
  <si>
    <t>ft.</t>
  </si>
  <si>
    <t>k =</t>
  </si>
  <si>
    <t>d</t>
  </si>
  <si>
    <t>tw</t>
  </si>
  <si>
    <t>bf</t>
  </si>
  <si>
    <t>tf</t>
  </si>
  <si>
    <t>k</t>
  </si>
  <si>
    <t>Rwy =</t>
  </si>
  <si>
    <t>kips</t>
  </si>
  <si>
    <t>Shape</t>
  </si>
  <si>
    <t>ksi</t>
  </si>
  <si>
    <t>Job Name:</t>
  </si>
  <si>
    <t>W18x258</t>
  </si>
  <si>
    <t>W18x283</t>
  </si>
  <si>
    <t>Sx =</t>
  </si>
  <si>
    <t>Fv =</t>
  </si>
  <si>
    <t>ft-kips</t>
  </si>
  <si>
    <t>Sx</t>
  </si>
  <si>
    <t>in.</t>
  </si>
  <si>
    <t>Results:</t>
  </si>
  <si>
    <t>Yes</t>
  </si>
  <si>
    <t>Beam Size =</t>
  </si>
  <si>
    <t>W18x192</t>
  </si>
  <si>
    <t>W18x211</t>
  </si>
  <si>
    <t>W18x234</t>
  </si>
  <si>
    <t>Beam Yield Stress, Fy =</t>
  </si>
  <si>
    <t>in.^3</t>
  </si>
  <si>
    <t>Beam End Bearing Length, N =</t>
  </si>
  <si>
    <t>bf =</t>
  </si>
  <si>
    <t>V = Fv*Aw = Fv*(d*tw)  (Allowable web shear)</t>
  </si>
  <si>
    <t>Does End of Beam Bear on Support?</t>
  </si>
  <si>
    <t>W18x311</t>
  </si>
  <si>
    <t>Beam Span, L =</t>
  </si>
  <si>
    <t>CALCULATIONS:</t>
  </si>
  <si>
    <t>R =</t>
  </si>
  <si>
    <t>Maximum Allowable End Reaction for Connection Design:</t>
  </si>
  <si>
    <t>Allowable End Reaction Based on End Bearing Criteria for Beam:</t>
  </si>
  <si>
    <t>Allowable End Reaction Based on Either Uniform Load or Web Shear:</t>
  </si>
  <si>
    <t>Fbx =</t>
  </si>
  <si>
    <t>kips/ft.</t>
  </si>
  <si>
    <t>Job Number:</t>
  </si>
  <si>
    <t>Input Data:</t>
  </si>
  <si>
    <t>tf =</t>
  </si>
  <si>
    <t>kips/in.</t>
  </si>
  <si>
    <t>tw =</t>
  </si>
  <si>
    <t>V =</t>
  </si>
  <si>
    <t>Rv =</t>
  </si>
  <si>
    <t>Rwc =</t>
  </si>
  <si>
    <t>No</t>
  </si>
  <si>
    <t>Member Properties:</t>
  </si>
  <si>
    <t>Beam:</t>
  </si>
  <si>
    <t>d =</t>
  </si>
  <si>
    <t>Mr =</t>
  </si>
  <si>
    <t>Subject:</t>
  </si>
  <si>
    <t>Originator:</t>
  </si>
  <si>
    <t>Checker:</t>
  </si>
  <si>
    <t>Beam Size:</t>
  </si>
  <si>
    <t>Design Parameters:</t>
  </si>
  <si>
    <t>R</t>
  </si>
  <si>
    <t>N</t>
  </si>
  <si>
    <t>Allow. End Reaction Based on Unif. Load</t>
  </si>
  <si>
    <t>Allow. End Reaction Based on End Bearing</t>
  </si>
  <si>
    <t xml:space="preserve">                   Rv</t>
  </si>
  <si>
    <t>Program Description:</t>
  </si>
  <si>
    <t>This program is a workbook consisting of two (2) worksheets, described as follows:</t>
  </si>
  <si>
    <t>Worksheet Name</t>
  </si>
  <si>
    <t>Description</t>
  </si>
  <si>
    <t>Doc</t>
  </si>
  <si>
    <t>This documentation sheet</t>
  </si>
  <si>
    <t>Program Assumptions and Limitations:</t>
  </si>
  <si>
    <r>
      <t xml:space="preserve">ksi       </t>
    </r>
    <r>
      <rPr>
        <sz val="8"/>
        <color indexed="12"/>
        <rFont val="Arial"/>
        <family val="2"/>
      </rPr>
      <t>Rv</t>
    </r>
  </si>
  <si>
    <t xml:space="preserve">      of input or output items, equations used, data tables, etc.  (Note:  presence of a “comment box” is denoted </t>
  </si>
  <si>
    <t xml:space="preserve">      by a “red triangle” in the upper right-hand corner of a cell.  Merely move the mouse pointer to the desired </t>
  </si>
  <si>
    <t xml:space="preserve">      cell to view the contents of that particular "comment box".)</t>
  </si>
  <si>
    <t xml:space="preserve">      design loads when end reaction values are not specified on the design and construction drawings by the </t>
  </si>
  <si>
    <t xml:space="preserve">1.   This program uses the database of member dimensions and section properties from the "AISC Shapes </t>
  </si>
  <si>
    <t>Maximum Allowable End Moment for Connection Design Using Directly Welded Flanges:</t>
  </si>
  <si>
    <r>
      <t>R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2"/>
      </rPr>
      <t xml:space="preserve"> =</t>
    </r>
  </si>
  <si>
    <r>
      <t>M1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2"/>
      </rPr>
      <t xml:space="preserve"> =</t>
    </r>
  </si>
  <si>
    <r>
      <t>M2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2"/>
      </rPr>
      <t xml:space="preserve"> =</t>
    </r>
  </si>
  <si>
    <t>w(unif)</t>
  </si>
  <si>
    <r>
      <t>W</t>
    </r>
    <r>
      <rPr>
        <sz val="8"/>
        <color indexed="8"/>
        <rFont val="Arial"/>
        <family val="2"/>
      </rPr>
      <t>(total)</t>
    </r>
    <r>
      <rPr>
        <sz val="10"/>
        <color indexed="8"/>
        <rFont val="Arial"/>
        <family val="2"/>
      </rPr>
      <t xml:space="preserve"> =</t>
    </r>
  </si>
  <si>
    <r>
      <t>w</t>
    </r>
    <r>
      <rPr>
        <sz val="8"/>
        <color indexed="8"/>
        <rFont val="Arial"/>
        <family val="2"/>
      </rPr>
      <t>(unif)</t>
    </r>
    <r>
      <rPr>
        <sz val="10"/>
        <color indexed="8"/>
        <rFont val="Arial"/>
        <family val="2"/>
      </rPr>
      <t xml:space="preserve"> =</t>
    </r>
  </si>
  <si>
    <r>
      <t>M1</t>
    </r>
    <r>
      <rPr>
        <sz val="8"/>
        <color indexed="12"/>
        <rFont val="Arial"/>
        <family val="0"/>
      </rPr>
      <t>(max)</t>
    </r>
    <r>
      <rPr>
        <sz val="10"/>
        <color indexed="12"/>
        <rFont val="Arial"/>
        <family val="0"/>
      </rPr>
      <t xml:space="preserve"> = w</t>
    </r>
    <r>
      <rPr>
        <sz val="8"/>
        <color indexed="12"/>
        <rFont val="Arial"/>
        <family val="0"/>
      </rPr>
      <t>(unif)</t>
    </r>
    <r>
      <rPr>
        <sz val="10"/>
        <color indexed="12"/>
        <rFont val="Arial"/>
        <family val="0"/>
      </rPr>
      <t>*L^2/8 = Mr</t>
    </r>
  </si>
  <si>
    <r>
      <t>w</t>
    </r>
    <r>
      <rPr>
        <sz val="8"/>
        <color indexed="12"/>
        <rFont val="Arial"/>
        <family val="0"/>
      </rPr>
      <t>(unif)</t>
    </r>
    <r>
      <rPr>
        <sz val="10"/>
        <color indexed="12"/>
        <rFont val="Arial"/>
        <family val="0"/>
      </rPr>
      <t xml:space="preserve"> = 8*(Mr)/L^2 = 8*(Fbx*Sx/12)/L^2</t>
    </r>
  </si>
  <si>
    <r>
      <t>Rv = Minimum of:  W</t>
    </r>
    <r>
      <rPr>
        <sz val="8"/>
        <color indexed="12"/>
        <rFont val="Arial"/>
        <family val="0"/>
      </rPr>
      <t>(total)</t>
    </r>
    <r>
      <rPr>
        <sz val="10"/>
        <color indexed="12"/>
        <rFont val="Arial"/>
        <family val="0"/>
      </rPr>
      <t>/2 = w</t>
    </r>
    <r>
      <rPr>
        <sz val="8"/>
        <color indexed="12"/>
        <rFont val="Arial"/>
        <family val="0"/>
      </rPr>
      <t>(unif)</t>
    </r>
    <r>
      <rPr>
        <sz val="10"/>
        <color indexed="12"/>
        <rFont val="Arial"/>
        <family val="0"/>
      </rPr>
      <t>*L/2  or  V  (based on Mr or V)</t>
    </r>
  </si>
  <si>
    <r>
      <t>M1</t>
    </r>
    <r>
      <rPr>
        <sz val="8"/>
        <color indexed="12"/>
        <rFont val="Arial"/>
        <family val="2"/>
      </rPr>
      <t>(max)</t>
    </r>
    <r>
      <rPr>
        <sz val="10"/>
        <color indexed="12"/>
        <rFont val="Arial"/>
        <family val="2"/>
      </rPr>
      <t xml:space="preserve"> =</t>
    </r>
  </si>
  <si>
    <r>
      <t>w</t>
    </r>
    <r>
      <rPr>
        <sz val="8"/>
        <color indexed="12"/>
        <rFont val="Arial"/>
        <family val="2"/>
      </rPr>
      <t>(unif)</t>
    </r>
    <r>
      <rPr>
        <sz val="10"/>
        <color indexed="12"/>
        <rFont val="Arial"/>
        <family val="2"/>
      </rPr>
      <t xml:space="preserve"> =</t>
    </r>
  </si>
  <si>
    <r>
      <t>W</t>
    </r>
    <r>
      <rPr>
        <sz val="8"/>
        <color indexed="12"/>
        <rFont val="Arial"/>
        <family val="2"/>
      </rPr>
      <t>(total)</t>
    </r>
    <r>
      <rPr>
        <sz val="10"/>
        <color indexed="12"/>
        <rFont val="Arial"/>
        <family val="2"/>
      </rPr>
      <t xml:space="preserve"> =</t>
    </r>
  </si>
  <si>
    <r>
      <t>R</t>
    </r>
    <r>
      <rPr>
        <sz val="8"/>
        <color indexed="12"/>
        <rFont val="Arial"/>
        <family val="2"/>
      </rPr>
      <t>(max)</t>
    </r>
    <r>
      <rPr>
        <sz val="10"/>
        <color indexed="12"/>
        <rFont val="Arial"/>
        <family val="2"/>
      </rPr>
      <t xml:space="preserve"> =</t>
    </r>
  </si>
  <si>
    <r>
      <t>M2</t>
    </r>
    <r>
      <rPr>
        <sz val="8"/>
        <color indexed="12"/>
        <rFont val="Arial"/>
        <family val="2"/>
      </rPr>
      <t>(max)</t>
    </r>
    <r>
      <rPr>
        <sz val="10"/>
        <color indexed="12"/>
        <rFont val="Arial"/>
        <family val="0"/>
      </rPr>
      <t xml:space="preserve"> =</t>
    </r>
  </si>
  <si>
    <r>
      <t>R</t>
    </r>
    <r>
      <rPr>
        <sz val="8"/>
        <color indexed="12"/>
        <rFont val="Arial"/>
        <family val="2"/>
      </rPr>
      <t>(max)</t>
    </r>
    <r>
      <rPr>
        <sz val="10"/>
        <color indexed="12"/>
        <rFont val="Arial"/>
        <family val="2"/>
      </rPr>
      <t xml:space="preserve"> = Minimum of:  Rv  or  R</t>
    </r>
  </si>
  <si>
    <r>
      <t>M2</t>
    </r>
    <r>
      <rPr>
        <sz val="8"/>
        <color indexed="12"/>
        <rFont val="Arial"/>
        <family val="2"/>
      </rPr>
      <t>(max)</t>
    </r>
    <r>
      <rPr>
        <sz val="10"/>
        <color indexed="12"/>
        <rFont val="Arial"/>
        <family val="2"/>
      </rPr>
      <t xml:space="preserve"> = (bf*tf)*(0.60*Fy)*(d-tf)/12</t>
    </r>
  </si>
  <si>
    <r>
      <t>M2</t>
    </r>
    <r>
      <rPr>
        <sz val="8"/>
        <color indexed="12"/>
        <rFont val="Arial"/>
        <family val="2"/>
      </rPr>
      <t>(max)</t>
    </r>
    <r>
      <rPr>
        <sz val="10"/>
        <color indexed="12"/>
        <rFont val="Arial"/>
        <family val="2"/>
      </rPr>
      <t>/M1</t>
    </r>
    <r>
      <rPr>
        <sz val="8"/>
        <color indexed="12"/>
        <rFont val="Arial"/>
        <family val="2"/>
      </rPr>
      <t>(max)</t>
    </r>
    <r>
      <rPr>
        <sz val="10"/>
        <color indexed="12"/>
        <rFont val="Arial"/>
        <family val="2"/>
      </rPr>
      <t xml:space="preserve"> =</t>
    </r>
  </si>
  <si>
    <r>
      <t>W</t>
    </r>
    <r>
      <rPr>
        <sz val="8"/>
        <color indexed="12"/>
        <rFont val="Arial"/>
        <family val="2"/>
      </rPr>
      <t>(total) = w(unif.) * L</t>
    </r>
  </si>
  <si>
    <r>
      <t>R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2"/>
      </rPr>
      <t xml:space="preserve"> = Minimum of:  Rv  or  R</t>
    </r>
  </si>
  <si>
    <r>
      <t>M2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2"/>
      </rPr>
      <t xml:space="preserve"> = (bf*tf)*(0.60*Fy)*(d-tf)/12</t>
    </r>
  </si>
  <si>
    <t>Angle Size:</t>
  </si>
  <si>
    <t>Angle Size =</t>
  </si>
  <si>
    <t>W</t>
  </si>
  <si>
    <r>
      <t>A 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</si>
  <si>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D</t>
  </si>
  <si>
    <t>B</t>
  </si>
  <si>
    <t>KDES</t>
  </si>
  <si>
    <t>KDET</t>
  </si>
  <si>
    <t>X</t>
  </si>
  <si>
    <t>Y</t>
  </si>
  <si>
    <t>XP</t>
  </si>
  <si>
    <t>YP</t>
  </si>
  <si>
    <t>IX</t>
  </si>
  <si>
    <t>ZX</t>
  </si>
  <si>
    <t>SX</t>
  </si>
  <si>
    <t>RX</t>
  </si>
  <si>
    <t>IY</t>
  </si>
  <si>
    <t>ZY</t>
  </si>
  <si>
    <t>SY</t>
  </si>
  <si>
    <t>RY</t>
  </si>
  <si>
    <t>RZ</t>
  </si>
  <si>
    <t>J</t>
  </si>
  <si>
    <t>CW</t>
  </si>
  <si>
    <t>RO</t>
  </si>
  <si>
    <t>H</t>
  </si>
  <si>
    <t>TAN_ALPHA</t>
  </si>
  <si>
    <t>QS</t>
  </si>
  <si>
    <t>βw</t>
  </si>
  <si>
    <t>L8X8X1-1/8</t>
  </si>
  <si>
    <t>L8X8X1</t>
  </si>
  <si>
    <t>L8X8X7/8</t>
  </si>
  <si>
    <t>L8X8X3/4</t>
  </si>
  <si>
    <t>L8X8X5/8</t>
  </si>
  <si>
    <t>L8X8X9/16</t>
  </si>
  <si>
    <t>L8X8X1/2</t>
  </si>
  <si>
    <t>L8X6X1</t>
  </si>
  <si>
    <t>L8X6X7/8</t>
  </si>
  <si>
    <t>L8X6X3/4</t>
  </si>
  <si>
    <t>L8X6X5/8</t>
  </si>
  <si>
    <t>L8X6X9/16</t>
  </si>
  <si>
    <t>L8X6X1/2</t>
  </si>
  <si>
    <t>L8X6X7/16</t>
  </si>
  <si>
    <t>L8X4X1</t>
  </si>
  <si>
    <t>L8X4X7/8</t>
  </si>
  <si>
    <t>L8X4X3/4</t>
  </si>
  <si>
    <t>L8X4X5/8</t>
  </si>
  <si>
    <t>L8X4X9/16</t>
  </si>
  <si>
    <t>L8X4X1/2</t>
  </si>
  <si>
    <t>L8X4X7/16</t>
  </si>
  <si>
    <t>L7X4X3/4</t>
  </si>
  <si>
    <t>L7X4X5/8</t>
  </si>
  <si>
    <t>L7X4X1/2</t>
  </si>
  <si>
    <t>L7X4X7/16</t>
  </si>
  <si>
    <t>L7X4X3/8</t>
  </si>
  <si>
    <t>L6X6X1</t>
  </si>
  <si>
    <t>L6X6X7/8</t>
  </si>
  <si>
    <t>L6X6X3/4</t>
  </si>
  <si>
    <t>L6X6X5/8</t>
  </si>
  <si>
    <t>L6X6X9/16</t>
  </si>
  <si>
    <t>L6X6X1/2</t>
  </si>
  <si>
    <t>L6X6X7/16</t>
  </si>
  <si>
    <t>L6X6X3/8</t>
  </si>
  <si>
    <t>L6X6X5/16</t>
  </si>
  <si>
    <t>L6X4X7/8</t>
  </si>
  <si>
    <t>L6X4X3/4</t>
  </si>
  <si>
    <t>L6X4X5/8</t>
  </si>
  <si>
    <t>L6X4X9/16</t>
  </si>
  <si>
    <t>L6X4X1/2</t>
  </si>
  <si>
    <t>L6X4X7/16</t>
  </si>
  <si>
    <t>L6X4X3/8</t>
  </si>
  <si>
    <t>L6X4X5/16</t>
  </si>
  <si>
    <t>L6X3-1/2X1/2</t>
  </si>
  <si>
    <t>L6X3-1/2X3/8</t>
  </si>
  <si>
    <t>L6X3-1/2X5/16</t>
  </si>
  <si>
    <t>L5X5X7/8</t>
  </si>
  <si>
    <t>L5X5X3/4</t>
  </si>
  <si>
    <t>L5X5X5/8</t>
  </si>
  <si>
    <t>L5X5X1/2</t>
  </si>
  <si>
    <t>L5X5X7/16</t>
  </si>
  <si>
    <t>L5X5X3/8</t>
  </si>
  <si>
    <t>L5X5X5/16</t>
  </si>
  <si>
    <t>L5X3-1/2X3/4</t>
  </si>
  <si>
    <t>L5X3-1/2X5/8</t>
  </si>
  <si>
    <t>L5X3-1/2X1/2</t>
  </si>
  <si>
    <t>L5X3-1/2X3/8</t>
  </si>
  <si>
    <t>L5X3-1/2X5/16</t>
  </si>
  <si>
    <t>L5X3-1/2X1/4</t>
  </si>
  <si>
    <t>L5X3X1/2</t>
  </si>
  <si>
    <t>L5X3X7/16</t>
  </si>
  <si>
    <t>L5X3X3/8</t>
  </si>
  <si>
    <t>L5X3X5/16</t>
  </si>
  <si>
    <t>L5X3X1/4</t>
  </si>
  <si>
    <t>L4X4X3/4</t>
  </si>
  <si>
    <t>L4X4X5/8</t>
  </si>
  <si>
    <t>L4X4X1/2</t>
  </si>
  <si>
    <t>L4X4X7/16</t>
  </si>
  <si>
    <t>L4X4X3/8</t>
  </si>
  <si>
    <t>L4X4X5/16</t>
  </si>
  <si>
    <t>L4X4X1/4</t>
  </si>
  <si>
    <t>L4X3-1/2X1/2</t>
  </si>
  <si>
    <t>L4X3-1/2X3/8</t>
  </si>
  <si>
    <t>L4X3-1/2X5/16</t>
  </si>
  <si>
    <t>L4X3-1/2X1/4</t>
  </si>
  <si>
    <t>L4X3X5/8</t>
  </si>
  <si>
    <t>L4X3X1/2</t>
  </si>
  <si>
    <t>L4X3X3/8</t>
  </si>
  <si>
    <t>L4X3X5/16</t>
  </si>
  <si>
    <t>L4X3X1/4</t>
  </si>
  <si>
    <t>L3-1/2X3-1/2X1/2</t>
  </si>
  <si>
    <t>L3-1/2X3-1/2X7/16</t>
  </si>
  <si>
    <t>L3-1/2X3-1/2X3/8</t>
  </si>
  <si>
    <t>L3-1/2X3-1/2X5/16</t>
  </si>
  <si>
    <t>L3-1/2X3-1/2X1/4</t>
  </si>
  <si>
    <t>L3-1/2X3X1/2</t>
  </si>
  <si>
    <t>L3-1/2X3X7/16</t>
  </si>
  <si>
    <t>L3-1/2X3X3/8</t>
  </si>
  <si>
    <t>L3-1/2X3X5/16</t>
  </si>
  <si>
    <t>L3-1/2X3X1/4</t>
  </si>
  <si>
    <t>L3-1/2X2-1/2X1/2</t>
  </si>
  <si>
    <t>L3-1/2X2-1/2X3/8</t>
  </si>
  <si>
    <t>L3-1/2X2-1/2X5/16</t>
  </si>
  <si>
    <t>L3-1/2X2-1/2X1/4</t>
  </si>
  <si>
    <t>L3X3X1/2</t>
  </si>
  <si>
    <t>L3X3X7/16</t>
  </si>
  <si>
    <t>L3X3X3/8</t>
  </si>
  <si>
    <t>L3X3X5/16</t>
  </si>
  <si>
    <t>L3X3X1/4</t>
  </si>
  <si>
    <t>L3X3X3/16</t>
  </si>
  <si>
    <t>L3X2-1/2X1/2</t>
  </si>
  <si>
    <t>L3X2-1/2X7/16</t>
  </si>
  <si>
    <t>L3X2-1/2X3/8</t>
  </si>
  <si>
    <t>L3X2-1/2X5/16</t>
  </si>
  <si>
    <t>L3X2-1/2X1/4</t>
  </si>
  <si>
    <t>L3X2-1/2X3/16</t>
  </si>
  <si>
    <t>L3X2X1/2</t>
  </si>
  <si>
    <t>L3X2X3/8</t>
  </si>
  <si>
    <t>L3X2X5/16</t>
  </si>
  <si>
    <t>L3X2X1/4</t>
  </si>
  <si>
    <t>L3X2X3/16</t>
  </si>
  <si>
    <t>L2-1/2X2-1/2X1/2</t>
  </si>
  <si>
    <t>L2-1/2X2-1/2X3/8</t>
  </si>
  <si>
    <t>L2-1/2X2-1/2X5/16</t>
  </si>
  <si>
    <t>L2-1/2X2-1/2X1/4</t>
  </si>
  <si>
    <t>L2-1/2X2-1/2X3/16</t>
  </si>
  <si>
    <t>L2-1/2X2X3/8</t>
  </si>
  <si>
    <t>L2-1/2X2X5/16</t>
  </si>
  <si>
    <t>L2-1/2X2X1/4</t>
  </si>
  <si>
    <t>L2-1/2X2X3/16</t>
  </si>
  <si>
    <t>L2X2X3/8</t>
  </si>
  <si>
    <t>L2X2X5/16</t>
  </si>
  <si>
    <t>L2X2X1/4</t>
  </si>
  <si>
    <t>L2X2X3/16</t>
  </si>
  <si>
    <t>L2X2X1/8</t>
  </si>
  <si>
    <t>t</t>
  </si>
  <si>
    <t>ECCENTRIC LOADS ON VERTICAL PARALLEL WELD GROUPS</t>
  </si>
  <si>
    <t>Based on the Instantaneous Center of Rotation Method</t>
  </si>
  <si>
    <t>Using Table 8-4 from AISC 13th Ed. Manual - page 8-66 to 8-71</t>
  </si>
  <si>
    <t>L =</t>
  </si>
  <si>
    <t>L = vertical weld length</t>
  </si>
  <si>
    <t>kL =</t>
  </si>
  <si>
    <t>kL = spacing of vertical welds</t>
  </si>
  <si>
    <t>C value</t>
  </si>
  <si>
    <t>aL =</t>
  </si>
  <si>
    <t>aL = dist. from Pv to C.G.</t>
  </si>
  <si>
    <r>
      <t xml:space="preserve">             </t>
    </r>
    <r>
      <rPr>
        <sz val="10"/>
        <color indexed="12"/>
        <rFont val="Symbol"/>
        <family val="1"/>
      </rPr>
      <t>q</t>
    </r>
  </si>
  <si>
    <t>a =</t>
  </si>
  <si>
    <t>a = (aL)/L</t>
  </si>
  <si>
    <t>Vertical Weld Length =</t>
  </si>
  <si>
    <t>C1 =</t>
  </si>
  <si>
    <t>Electrode Strength Coefficient, C1,Table 8-3</t>
  </si>
  <si>
    <t>Spacing of Welds =</t>
  </si>
  <si>
    <t>C =</t>
  </si>
  <si>
    <t>(interpolated from Table 8-4)</t>
  </si>
  <si>
    <r>
      <t xml:space="preserve">Weld Size,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=</t>
    </r>
  </si>
  <si>
    <t>P =</t>
  </si>
  <si>
    <t>P = SQRT(Pv^2+Ph^2)</t>
  </si>
  <si>
    <t>Vertical Load, Pv =</t>
  </si>
  <si>
    <t xml:space="preserve">                C.G.</t>
  </si>
  <si>
    <t>deg.</t>
  </si>
  <si>
    <t>Horizontal  Load, Ph =</t>
  </si>
  <si>
    <t>Dist. from Pv to C.G. =</t>
  </si>
  <si>
    <t>E60</t>
  </si>
  <si>
    <t>1/16's</t>
  </si>
  <si>
    <t>Weld Alloy =</t>
  </si>
  <si>
    <t>E70</t>
  </si>
  <si>
    <t xml:space="preserve">                    (kL)/2</t>
  </si>
  <si>
    <t xml:space="preserve">        (kL)/2</t>
  </si>
  <si>
    <t>ASD or LRFD =</t>
  </si>
  <si>
    <t>ASD</t>
  </si>
  <si>
    <t>E80</t>
  </si>
  <si>
    <t>Use Special Case?</t>
  </si>
  <si>
    <t>E90</t>
  </si>
  <si>
    <t>E100</t>
  </si>
  <si>
    <t>Nomenclature:</t>
  </si>
  <si>
    <t>E110</t>
  </si>
  <si>
    <t>LRFD</t>
  </si>
  <si>
    <t>C = coefficient interpolated from Table 8-4</t>
  </si>
  <si>
    <t>TABLE 8-4 Coefficients, "C" (AISC Manual - page 8-66) θ = 0°</t>
  </si>
  <si>
    <t>C1 = coefficient for electrode, see Table 8-3</t>
  </si>
  <si>
    <t>k Index:</t>
  </si>
  <si>
    <t>D = number of 1/16's of an inch (weld size)</t>
  </si>
  <si>
    <t>a</t>
  </si>
  <si>
    <t>a Index:</t>
  </si>
  <si>
    <t>eq. spaces</t>
  </si>
  <si>
    <r>
      <t xml:space="preserve">          </t>
    </r>
    <r>
      <rPr>
        <b/>
        <u val="single"/>
        <sz val="9"/>
        <rFont val="Arial"/>
        <family val="2"/>
      </rPr>
      <t>Special Case (out of plane)</t>
    </r>
    <r>
      <rPr>
        <b/>
        <sz val="9"/>
        <rFont val="Arial"/>
        <family val="2"/>
      </rPr>
      <t xml:space="preserve">  </t>
    </r>
    <r>
      <rPr>
        <sz val="8"/>
        <rFont val="Arial"/>
        <family val="2"/>
      </rPr>
      <t>(Use C values for k=0)</t>
    </r>
  </si>
  <si>
    <t>3..33</t>
  </si>
  <si>
    <t>(interpolated from Table 8-4, pages  8-66 to 8-71)</t>
  </si>
  <si>
    <r>
      <t xml:space="preserve">Angle </t>
    </r>
    <r>
      <rPr>
        <sz val="10"/>
        <rFont val="Symbol"/>
        <family val="1"/>
      </rPr>
      <t>q</t>
    </r>
    <r>
      <rPr>
        <sz val="10"/>
        <rFont val="Arial"/>
        <family val="0"/>
      </rPr>
      <t xml:space="preserve"> =</t>
    </r>
  </si>
  <si>
    <r>
      <t>q</t>
    </r>
    <r>
      <rPr>
        <sz val="10"/>
        <color indexed="8"/>
        <rFont val="Arial"/>
        <family val="2"/>
      </rPr>
      <t xml:space="preserve"> = 90-(ATAN(Pv/Ph))</t>
    </r>
  </si>
  <si>
    <r>
      <t>C</t>
    </r>
    <r>
      <rPr>
        <vertAlign val="subscript"/>
        <sz val="10"/>
        <rFont val="Arial"/>
        <family val="2"/>
      </rPr>
      <t xml:space="preserve">MIN </t>
    </r>
    <r>
      <rPr>
        <sz val="10"/>
        <rFont val="Arial"/>
        <family val="2"/>
      </rPr>
      <t>=</t>
    </r>
  </si>
  <si>
    <r>
      <t>D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=</t>
    </r>
  </si>
  <si>
    <r>
      <t>L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=</t>
    </r>
  </si>
  <si>
    <t>Long Leg Vert?</t>
  </si>
  <si>
    <t>End Rxn, R =</t>
  </si>
  <si>
    <t>Fy, Beam =</t>
  </si>
  <si>
    <t>Fy, Angle =</t>
  </si>
  <si>
    <t>Allowable End Reaction for Connection Design</t>
  </si>
  <si>
    <t>Brg Length, N+k =</t>
  </si>
  <si>
    <t>Angle:</t>
  </si>
  <si>
    <t>t =</t>
  </si>
  <si>
    <t>N =</t>
  </si>
  <si>
    <t>Offset, a =</t>
  </si>
  <si>
    <t>Angle Width, b =</t>
  </si>
  <si>
    <t>e =</t>
  </si>
  <si>
    <t>ef =</t>
  </si>
  <si>
    <t>ef = a + N/2</t>
  </si>
  <si>
    <t>e = ef - 3/8 - t</t>
  </si>
  <si>
    <t>Length of Beam, L =</t>
  </si>
  <si>
    <t>N = (N+k) - k</t>
  </si>
  <si>
    <t xml:space="preserve">N = </t>
  </si>
  <si>
    <r>
      <t>t</t>
    </r>
    <r>
      <rPr>
        <vertAlign val="subscript"/>
        <sz val="10"/>
        <rFont val="Arial"/>
        <family val="2"/>
      </rPr>
      <t>req'd</t>
    </r>
    <r>
      <rPr>
        <sz val="10"/>
        <rFont val="Arial"/>
        <family val="2"/>
      </rPr>
      <t xml:space="preserve"> =</t>
    </r>
  </si>
  <si>
    <t xml:space="preserve">point of critical            </t>
  </si>
  <si>
    <t xml:space="preserve"> moment            </t>
  </si>
  <si>
    <t>Unstiffened Angle Seat</t>
  </si>
  <si>
    <t>YES</t>
  </si>
  <si>
    <t>Unequal Legs?</t>
  </si>
  <si>
    <r>
      <t xml:space="preserve">            </t>
    </r>
    <r>
      <rPr>
        <b/>
        <u val="single"/>
        <sz val="10"/>
        <rFont val="Arial"/>
        <family val="2"/>
      </rPr>
      <t>Seat Length Section</t>
    </r>
  </si>
  <si>
    <t>L, horiz.=</t>
  </si>
  <si>
    <t>L, vert. =</t>
  </si>
  <si>
    <t>Properties:</t>
  </si>
  <si>
    <t xml:space="preserve">            w</t>
  </si>
  <si>
    <t xml:space="preserve">Interpolate for "C" </t>
  </si>
  <si>
    <t>Rn / Ω =</t>
  </si>
  <si>
    <t>D =</t>
  </si>
  <si>
    <t>(continued)</t>
  </si>
  <si>
    <t>Comments:</t>
  </si>
  <si>
    <t>SUMMARY OF CHECKS:</t>
  </si>
  <si>
    <t>Row No.:</t>
  </si>
  <si>
    <t>Ratio:</t>
  </si>
  <si>
    <t>REQUIRED MINIMUM ANGLE THICKNESS</t>
  </si>
  <si>
    <t xml:space="preserve">Minimum thickness </t>
  </si>
  <si>
    <t>Zx =</t>
  </si>
  <si>
    <t>S.F. = Zs/Sx =</t>
  </si>
  <si>
    <t>in.^4</t>
  </si>
  <si>
    <t>in.^5</t>
  </si>
  <si>
    <t>W, S, M, C and MC Section Properties from AISC Version 13.0 CD</t>
  </si>
  <si>
    <t>Database (2005) and AISC 13th Edition Manual (2005)</t>
  </si>
  <si>
    <t>Zx</t>
  </si>
  <si>
    <t>W44X335</t>
  </si>
  <si>
    <t>W44X290</t>
  </si>
  <si>
    <t>W44X262</t>
  </si>
  <si>
    <t>W44X230</t>
  </si>
  <si>
    <t>W40X593</t>
  </si>
  <si>
    <t>W40X503</t>
  </si>
  <si>
    <t>W40X431</t>
  </si>
  <si>
    <t>W40X397</t>
  </si>
  <si>
    <t>W40X372</t>
  </si>
  <si>
    <t>W40X362</t>
  </si>
  <si>
    <t>W40X324</t>
  </si>
  <si>
    <t>W40X297</t>
  </si>
  <si>
    <t>W40X277</t>
  </si>
  <si>
    <t>W40X249</t>
  </si>
  <si>
    <t>W40X215</t>
  </si>
  <si>
    <t>W40X199</t>
  </si>
  <si>
    <t>W40X392</t>
  </si>
  <si>
    <t>W40X331</t>
  </si>
  <si>
    <t>W40X327</t>
  </si>
  <si>
    <t>W40X294</t>
  </si>
  <si>
    <t>W40X278</t>
  </si>
  <si>
    <t>W40X264</t>
  </si>
  <si>
    <t>W40X235</t>
  </si>
  <si>
    <t>W40X211</t>
  </si>
  <si>
    <t>W40X183</t>
  </si>
  <si>
    <t>W40X167</t>
  </si>
  <si>
    <t>W40X149</t>
  </si>
  <si>
    <t>W36X800</t>
  </si>
  <si>
    <t>W36X652</t>
  </si>
  <si>
    <t>W36X529</t>
  </si>
  <si>
    <t>W36X487</t>
  </si>
  <si>
    <t>W36X441</t>
  </si>
  <si>
    <t>W36X395</t>
  </si>
  <si>
    <t>W36X361</t>
  </si>
  <si>
    <t>W36X330</t>
  </si>
  <si>
    <t>W36X302</t>
  </si>
  <si>
    <t>W36X282</t>
  </si>
  <si>
    <t>W36X262</t>
  </si>
  <si>
    <t>W36X247</t>
  </si>
  <si>
    <t>W36X231</t>
  </si>
  <si>
    <t>W36X256</t>
  </si>
  <si>
    <t>W36X232</t>
  </si>
  <si>
    <t>W36X210</t>
  </si>
  <si>
    <t>W36X194</t>
  </si>
  <si>
    <t>W36X182</t>
  </si>
  <si>
    <t>W36X170</t>
  </si>
  <si>
    <t>W36X160</t>
  </si>
  <si>
    <t>W36X150</t>
  </si>
  <si>
    <t>W36X135</t>
  </si>
  <si>
    <t>W33X387</t>
  </si>
  <si>
    <t>W33X354</t>
  </si>
  <si>
    <t>W33X318</t>
  </si>
  <si>
    <t>W33X291</t>
  </si>
  <si>
    <t>W33X263</t>
  </si>
  <si>
    <t>W33X241</t>
  </si>
  <si>
    <t>W33X221</t>
  </si>
  <si>
    <t>W33X201</t>
  </si>
  <si>
    <t>W33X169</t>
  </si>
  <si>
    <t>W33X152</t>
  </si>
  <si>
    <t>W33X141</t>
  </si>
  <si>
    <t>W33X130</t>
  </si>
  <si>
    <t>W33X118</t>
  </si>
  <si>
    <t>W30X391</t>
  </si>
  <si>
    <t>W30X357</t>
  </si>
  <si>
    <t>W30X326</t>
  </si>
  <si>
    <t>W30X292</t>
  </si>
  <si>
    <t>W30X261</t>
  </si>
  <si>
    <t>W30X235</t>
  </si>
  <si>
    <t>W30X211</t>
  </si>
  <si>
    <t>W30X191</t>
  </si>
  <si>
    <t>W30X173</t>
  </si>
  <si>
    <t>W30X148</t>
  </si>
  <si>
    <t>W30X132</t>
  </si>
  <si>
    <t>W30X124</t>
  </si>
  <si>
    <t>W30X116</t>
  </si>
  <si>
    <t>W30X108</t>
  </si>
  <si>
    <t>W30X99</t>
  </si>
  <si>
    <t>W30X90</t>
  </si>
  <si>
    <t>W27X539</t>
  </si>
  <si>
    <t>W27X368</t>
  </si>
  <si>
    <t>W27X336</t>
  </si>
  <si>
    <t>W27X307</t>
  </si>
  <si>
    <t>W27X281</t>
  </si>
  <si>
    <t>W27X258</t>
  </si>
  <si>
    <t>W27X235</t>
  </si>
  <si>
    <t>W27X217</t>
  </si>
  <si>
    <t>W27X194</t>
  </si>
  <si>
    <t>W27X178</t>
  </si>
  <si>
    <t>W27X161</t>
  </si>
  <si>
    <t>W27X146</t>
  </si>
  <si>
    <t>W27X129</t>
  </si>
  <si>
    <t>W27X114</t>
  </si>
  <si>
    <t>W27X102</t>
  </si>
  <si>
    <t>W27X94</t>
  </si>
  <si>
    <t>W27X84</t>
  </si>
  <si>
    <t>W24X370</t>
  </si>
  <si>
    <t>W24X335</t>
  </si>
  <si>
    <t>W24X306</t>
  </si>
  <si>
    <t>W24X279</t>
  </si>
  <si>
    <t>W24X250</t>
  </si>
  <si>
    <t>W24X229</t>
  </si>
  <si>
    <t>W24X207</t>
  </si>
  <si>
    <t>W24X192</t>
  </si>
  <si>
    <t>W24X176</t>
  </si>
  <si>
    <t>W24X162</t>
  </si>
  <si>
    <t>W24X146</t>
  </si>
  <si>
    <t>W24X131</t>
  </si>
  <si>
    <t>W24X117</t>
  </si>
  <si>
    <t>W24X104</t>
  </si>
  <si>
    <t>W24X103</t>
  </si>
  <si>
    <t>W24X94</t>
  </si>
  <si>
    <t>W24X84</t>
  </si>
  <si>
    <t>W24X76</t>
  </si>
  <si>
    <t>W24X68</t>
  </si>
  <si>
    <t>W24X62</t>
  </si>
  <si>
    <t>W24X55</t>
  </si>
  <si>
    <t>W21X201</t>
  </si>
  <si>
    <t>W21X182</t>
  </si>
  <si>
    <t>W21X166</t>
  </si>
  <si>
    <t>W21X147</t>
  </si>
  <si>
    <t>W21X132</t>
  </si>
  <si>
    <t>W21X122</t>
  </si>
  <si>
    <t>W21X111</t>
  </si>
  <si>
    <t>W21X101</t>
  </si>
  <si>
    <t>W21X93</t>
  </si>
  <si>
    <t>W21X83</t>
  </si>
  <si>
    <t>W21X73</t>
  </si>
  <si>
    <t>W21X68</t>
  </si>
  <si>
    <t>W21X62</t>
  </si>
  <si>
    <t>W21X55</t>
  </si>
  <si>
    <t>W21X48</t>
  </si>
  <si>
    <t>W21X57</t>
  </si>
  <si>
    <t>W21X50</t>
  </si>
  <si>
    <t>W21X44</t>
  </si>
  <si>
    <t>W18X175</t>
  </si>
  <si>
    <t>W18X158</t>
  </si>
  <si>
    <t>W18X143</t>
  </si>
  <si>
    <t>W18X130</t>
  </si>
  <si>
    <t>W18X119</t>
  </si>
  <si>
    <t>W18X106</t>
  </si>
  <si>
    <t>W18X97</t>
  </si>
  <si>
    <t>W18X86</t>
  </si>
  <si>
    <t>W18X76</t>
  </si>
  <si>
    <t>W18X71</t>
  </si>
  <si>
    <t>W18X65</t>
  </si>
  <si>
    <t>W18X60</t>
  </si>
  <si>
    <t>W18X55</t>
  </si>
  <si>
    <t>W18X50</t>
  </si>
  <si>
    <t>W18X46</t>
  </si>
  <si>
    <t>W18X40</t>
  </si>
  <si>
    <t>W18X35</t>
  </si>
  <si>
    <t>W16X100</t>
  </si>
  <si>
    <t>W16X89</t>
  </si>
  <si>
    <t>W16X77</t>
  </si>
  <si>
    <t>W16X67</t>
  </si>
  <si>
    <t>W16X57</t>
  </si>
  <si>
    <t>W16X50</t>
  </si>
  <si>
    <t>W16X45</t>
  </si>
  <si>
    <t>W16X40</t>
  </si>
  <si>
    <t>W16X36</t>
  </si>
  <si>
    <t>W16X31</t>
  </si>
  <si>
    <t>W16X26</t>
  </si>
  <si>
    <t>W14X730</t>
  </si>
  <si>
    <t>W14X665</t>
  </si>
  <si>
    <t>W14X605</t>
  </si>
  <si>
    <t>W14X550</t>
  </si>
  <si>
    <t>W14X500</t>
  </si>
  <si>
    <t>W14X455</t>
  </si>
  <si>
    <t>W14X426</t>
  </si>
  <si>
    <t>W14X398</t>
  </si>
  <si>
    <t>W14X370</t>
  </si>
  <si>
    <t>W14X342</t>
  </si>
  <si>
    <t>W14X311</t>
  </si>
  <si>
    <t>W14X283</t>
  </si>
  <si>
    <t>W14X257</t>
  </si>
  <si>
    <t>W14X233</t>
  </si>
  <si>
    <t>W14X211</t>
  </si>
  <si>
    <t>W14X193</t>
  </si>
  <si>
    <t>W14X176</t>
  </si>
  <si>
    <t>W14X159</t>
  </si>
  <si>
    <t>W14X145</t>
  </si>
  <si>
    <t>W14X132</t>
  </si>
  <si>
    <t>W14X120</t>
  </si>
  <si>
    <t>W14X109</t>
  </si>
  <si>
    <t>W14X99</t>
  </si>
  <si>
    <t>W14X90</t>
  </si>
  <si>
    <t>W14X82</t>
  </si>
  <si>
    <t>W14X74</t>
  </si>
  <si>
    <t>W14X68</t>
  </si>
  <si>
    <t>W14X61</t>
  </si>
  <si>
    <t>W14X53</t>
  </si>
  <si>
    <t>W14X48</t>
  </si>
  <si>
    <t>W14X43</t>
  </si>
  <si>
    <t>W14X38</t>
  </si>
  <si>
    <t>W14X34</t>
  </si>
  <si>
    <t>W14X30</t>
  </si>
  <si>
    <t>W14X26</t>
  </si>
  <si>
    <t>W14X22</t>
  </si>
  <si>
    <t>W12X336</t>
  </si>
  <si>
    <t>W12X305</t>
  </si>
  <si>
    <t>W12X279</t>
  </si>
  <si>
    <t>W12X252</t>
  </si>
  <si>
    <t>W12X230</t>
  </si>
  <si>
    <t>W12X210</t>
  </si>
  <si>
    <t>W12X190</t>
  </si>
  <si>
    <t>W12X170</t>
  </si>
  <si>
    <t>W12X152</t>
  </si>
  <si>
    <t>W12X136</t>
  </si>
  <si>
    <t>W12X120</t>
  </si>
  <si>
    <t>W12X106</t>
  </si>
  <si>
    <t>W12X96</t>
  </si>
  <si>
    <t>W12X87</t>
  </si>
  <si>
    <t>W12X79</t>
  </si>
  <si>
    <t>W12X72</t>
  </si>
  <si>
    <t>W12X65</t>
  </si>
  <si>
    <t>W12X58</t>
  </si>
  <si>
    <t>W12X53</t>
  </si>
  <si>
    <t>W12X50</t>
  </si>
  <si>
    <t>W12X45</t>
  </si>
  <si>
    <t>W12X40</t>
  </si>
  <si>
    <t>W12X35</t>
  </si>
  <si>
    <t>W12X30</t>
  </si>
  <si>
    <t>W12X26</t>
  </si>
  <si>
    <t>W12X22</t>
  </si>
  <si>
    <t>W12X19</t>
  </si>
  <si>
    <t>W12X16</t>
  </si>
  <si>
    <t>W12X14</t>
  </si>
  <si>
    <t>W10X112</t>
  </si>
  <si>
    <t>W10X100</t>
  </si>
  <si>
    <t>W10X88</t>
  </si>
  <si>
    <t>W10X77</t>
  </si>
  <si>
    <t>W10X68</t>
  </si>
  <si>
    <t>W10X60</t>
  </si>
  <si>
    <t>W10X54</t>
  </si>
  <si>
    <t>W10X49</t>
  </si>
  <si>
    <t>W10X45</t>
  </si>
  <si>
    <t>W10X39</t>
  </si>
  <si>
    <t>W10X33</t>
  </si>
  <si>
    <t>W10X30</t>
  </si>
  <si>
    <t>W10X26</t>
  </si>
  <si>
    <t>W10X22</t>
  </si>
  <si>
    <t>W10X19</t>
  </si>
  <si>
    <t>W10X17</t>
  </si>
  <si>
    <t>W10X15</t>
  </si>
  <si>
    <t>W10X12</t>
  </si>
  <si>
    <t>W8X67</t>
  </si>
  <si>
    <t>W8X58</t>
  </si>
  <si>
    <t>W8X48</t>
  </si>
  <si>
    <t>W8X40</t>
  </si>
  <si>
    <t>W8X35</t>
  </si>
  <si>
    <t>W8X31</t>
  </si>
  <si>
    <t>W8X28</t>
  </si>
  <si>
    <t>W8X24</t>
  </si>
  <si>
    <t>W8X21</t>
  </si>
  <si>
    <t>W8X18</t>
  </si>
  <si>
    <t>W8X15</t>
  </si>
  <si>
    <t>W8X13</t>
  </si>
  <si>
    <t>W8X10</t>
  </si>
  <si>
    <t>W6X25</t>
  </si>
  <si>
    <t>W6X20</t>
  </si>
  <si>
    <t>W6X15</t>
  </si>
  <si>
    <t>W6X16</t>
  </si>
  <si>
    <t>W6X12</t>
  </si>
  <si>
    <t>W6X9</t>
  </si>
  <si>
    <t>W6X8.5</t>
  </si>
  <si>
    <t>W5X19</t>
  </si>
  <si>
    <t>W5X16</t>
  </si>
  <si>
    <t>W4X13</t>
  </si>
  <si>
    <t>M12.5X12.4</t>
  </si>
  <si>
    <t>M12.5X11.6</t>
  </si>
  <si>
    <t>M12X11.8</t>
  </si>
  <si>
    <t>M12X10.8</t>
  </si>
  <si>
    <t>M12X10</t>
  </si>
  <si>
    <t>M10X9</t>
  </si>
  <si>
    <t>M10X8</t>
  </si>
  <si>
    <t>M10X7.5</t>
  </si>
  <si>
    <t>M8X6.5</t>
  </si>
  <si>
    <t>M8X6.2</t>
  </si>
  <si>
    <t>M6X4.4</t>
  </si>
  <si>
    <t>M6X3.7</t>
  </si>
  <si>
    <t>M5X18.9</t>
  </si>
  <si>
    <t>M4X6</t>
  </si>
  <si>
    <t>M4X4.08</t>
  </si>
  <si>
    <t>M4X3.45</t>
  </si>
  <si>
    <t>M4X3.2</t>
  </si>
  <si>
    <t>M3X2.9</t>
  </si>
  <si>
    <t>S24X121</t>
  </si>
  <si>
    <t>S24X106</t>
  </si>
  <si>
    <t>S24X100</t>
  </si>
  <si>
    <t>S24X90</t>
  </si>
  <si>
    <t>S24X80</t>
  </si>
  <si>
    <t>S20X96</t>
  </si>
  <si>
    <t>S20X86</t>
  </si>
  <si>
    <t>S20X75</t>
  </si>
  <si>
    <t>S20X66</t>
  </si>
  <si>
    <t>S18X70</t>
  </si>
  <si>
    <t>S18X54.7</t>
  </si>
  <si>
    <t>S15X50</t>
  </si>
  <si>
    <t>S15X42.9</t>
  </si>
  <si>
    <t>S12X50</t>
  </si>
  <si>
    <t>S12X40.8</t>
  </si>
  <si>
    <t>S12X35</t>
  </si>
  <si>
    <t>S12X31.8</t>
  </si>
  <si>
    <t>S10X35</t>
  </si>
  <si>
    <t>S10X25.4</t>
  </si>
  <si>
    <t>S8X23</t>
  </si>
  <si>
    <t>S8X18.4</t>
  </si>
  <si>
    <t>S6X17.2</t>
  </si>
  <si>
    <t>S6X12.5</t>
  </si>
  <si>
    <t>S5X10</t>
  </si>
  <si>
    <t>S4X9.5</t>
  </si>
  <si>
    <t>S4X7.7</t>
  </si>
  <si>
    <t>S3X7.5</t>
  </si>
  <si>
    <t>S3X5.7</t>
  </si>
  <si>
    <t>HP14X117</t>
  </si>
  <si>
    <t>HP14X102</t>
  </si>
  <si>
    <t>HP14X89</t>
  </si>
  <si>
    <t>HP14X73</t>
  </si>
  <si>
    <t>HP12X84</t>
  </si>
  <si>
    <t>HP12X74</t>
  </si>
  <si>
    <t>HP12X63</t>
  </si>
  <si>
    <t>HP12X53</t>
  </si>
  <si>
    <t>HP10X57</t>
  </si>
  <si>
    <t>HP10X42</t>
  </si>
  <si>
    <t>HP8X36</t>
  </si>
  <si>
    <t>C15X50</t>
  </si>
  <si>
    <t>C15X40</t>
  </si>
  <si>
    <t>C15X33.9</t>
  </si>
  <si>
    <t>C12X30</t>
  </si>
  <si>
    <t>C12X25</t>
  </si>
  <si>
    <t>C12X20.7</t>
  </si>
  <si>
    <t>C10X30</t>
  </si>
  <si>
    <t>C10X25</t>
  </si>
  <si>
    <t>C10X20</t>
  </si>
  <si>
    <t>C10X15.3</t>
  </si>
  <si>
    <t>C9X20</t>
  </si>
  <si>
    <t>C9X15</t>
  </si>
  <si>
    <t>C9X13.4</t>
  </si>
  <si>
    <t>C8X18.7</t>
  </si>
  <si>
    <t>C8X13.7</t>
  </si>
  <si>
    <t>C8X11.5</t>
  </si>
  <si>
    <t>C7X14.7</t>
  </si>
  <si>
    <t>C7X12.2</t>
  </si>
  <si>
    <t>C7X9.8</t>
  </si>
  <si>
    <t>C6X13</t>
  </si>
  <si>
    <t>C6X10.5</t>
  </si>
  <si>
    <t>C6X8.2</t>
  </si>
  <si>
    <t>C5X9</t>
  </si>
  <si>
    <t>C5X6.7</t>
  </si>
  <si>
    <t>C4X7.2</t>
  </si>
  <si>
    <t>C4X5.4</t>
  </si>
  <si>
    <t>C4X4.5</t>
  </si>
  <si>
    <t>C3X6</t>
  </si>
  <si>
    <t>C3X5</t>
  </si>
  <si>
    <t>C3X4.1</t>
  </si>
  <si>
    <t>C3X3.5</t>
  </si>
  <si>
    <t>MC18X58</t>
  </si>
  <si>
    <t>MC18X51.9</t>
  </si>
  <si>
    <t>MC18X45.8</t>
  </si>
  <si>
    <t>MC18X42.7</t>
  </si>
  <si>
    <t>MC13X50</t>
  </si>
  <si>
    <t>MC13X40</t>
  </si>
  <si>
    <t>MC13X35</t>
  </si>
  <si>
    <t>MC13X31.8</t>
  </si>
  <si>
    <t>MC12X50</t>
  </si>
  <si>
    <t>MC12X45</t>
  </si>
  <si>
    <t>MC12X40</t>
  </si>
  <si>
    <t>MC12X35</t>
  </si>
  <si>
    <t>MC12X31</t>
  </si>
  <si>
    <t>MC12X10.6</t>
  </si>
  <si>
    <t>MC10X41.1</t>
  </si>
  <si>
    <t>MC10X33.6</t>
  </si>
  <si>
    <t>MC10X28.5</t>
  </si>
  <si>
    <t>MC10X25</t>
  </si>
  <si>
    <t>MC10X22</t>
  </si>
  <si>
    <t>MC10X8.4</t>
  </si>
  <si>
    <t>MC10X6.5</t>
  </si>
  <si>
    <t>MC9X25.4</t>
  </si>
  <si>
    <t>MC9X23.9</t>
  </si>
  <si>
    <t>MC8X22.8</t>
  </si>
  <si>
    <t>MC8X21.4</t>
  </si>
  <si>
    <t>MC8X20</t>
  </si>
  <si>
    <t>MC8X18.7</t>
  </si>
  <si>
    <t>MC8X8.5</t>
  </si>
  <si>
    <t>MC7X22.7</t>
  </si>
  <si>
    <t>MC7X19.1</t>
  </si>
  <si>
    <t>MC6X18</t>
  </si>
  <si>
    <t>MC6X15.3</t>
  </si>
  <si>
    <t>MC6X16.3</t>
  </si>
  <si>
    <t>MC6X15.1</t>
  </si>
  <si>
    <t>MC6X12</t>
  </si>
  <si>
    <t>MC6x7</t>
  </si>
  <si>
    <t>MC6x6.5</t>
  </si>
  <si>
    <t>MC4x13.8</t>
  </si>
  <si>
    <t>MC3x7.1</t>
  </si>
  <si>
    <t>Section Ratios and Parameters:</t>
  </si>
  <si>
    <r>
      <t xml:space="preserve">l </t>
    </r>
    <r>
      <rPr>
        <sz val="10"/>
        <color indexed="12"/>
        <rFont val="Arial"/>
        <family val="2"/>
      </rPr>
      <t>= bf/(2*tf) =</t>
    </r>
  </si>
  <si>
    <t>h/tw =</t>
  </si>
  <si>
    <r>
      <t>l</t>
    </r>
    <r>
      <rPr>
        <sz val="10"/>
        <color indexed="12"/>
        <rFont val="Arial"/>
        <family val="2"/>
      </rPr>
      <t>pf =</t>
    </r>
  </si>
  <si>
    <r>
      <t>l</t>
    </r>
    <r>
      <rPr>
        <sz val="10"/>
        <color indexed="12"/>
        <rFont val="Arial"/>
        <family val="2"/>
      </rPr>
      <t>rf =</t>
    </r>
  </si>
  <si>
    <r>
      <t>l</t>
    </r>
    <r>
      <rPr>
        <sz val="10"/>
        <color indexed="12"/>
        <rFont val="Arial"/>
        <family val="2"/>
      </rPr>
      <t>pw =</t>
    </r>
  </si>
  <si>
    <r>
      <t>l</t>
    </r>
    <r>
      <rPr>
        <sz val="10"/>
        <color indexed="12"/>
        <rFont val="Arial"/>
        <family val="2"/>
      </rPr>
      <t>rw =</t>
    </r>
  </si>
  <si>
    <t>Mr = (Fbx*Sx)/12  (from AISC Max. Total Uniform Load Tables p. 3-33 to 3-95)</t>
  </si>
  <si>
    <t>kv =</t>
  </si>
  <si>
    <t>kv = 5.0 for unstiffened webs</t>
  </si>
  <si>
    <t>Cv =</t>
  </si>
  <si>
    <t>Cv = 1.0 for h/tw ≤ 2.24*sqrt(E/Fy), otherwise see Eqn. G2-3 to G2-5</t>
  </si>
  <si>
    <t>Rvg = (1/1.5)*0.60*Fy*Cv</t>
  </si>
  <si>
    <r>
      <t>W</t>
    </r>
    <r>
      <rPr>
        <sz val="8"/>
        <color indexed="12"/>
        <rFont val="Arial"/>
        <family val="0"/>
      </rPr>
      <t>(total)</t>
    </r>
    <r>
      <rPr>
        <sz val="10"/>
        <color indexed="12"/>
        <rFont val="Arial"/>
        <family val="0"/>
      </rPr>
      <t xml:space="preserve"> = Minimum of:  w</t>
    </r>
    <r>
      <rPr>
        <sz val="8"/>
        <color indexed="12"/>
        <rFont val="Arial"/>
        <family val="0"/>
      </rPr>
      <t>(unif)</t>
    </r>
    <r>
      <rPr>
        <sz val="10"/>
        <color indexed="12"/>
        <rFont val="Arial"/>
        <family val="0"/>
      </rPr>
      <t>*L or 2*V  (AISC Table p. 3-33 to 3-95)</t>
    </r>
  </si>
  <si>
    <t>R1/Ω =</t>
  </si>
  <si>
    <t>R1/Ω = 2.5*k*Fy*tw / Ω  (Ω = 1.5, Constant for web yielding - AISC page 9-18)</t>
  </si>
  <si>
    <t>R2/Ω =</t>
  </si>
  <si>
    <t>R2/Ω = Fy*tw / Ω  (Ω = 1.5, Constant for web yielding - AISC page 9-18)</t>
  </si>
  <si>
    <t>R3/Ω =</t>
  </si>
  <si>
    <t>R3/Ω = { 0.40*tw^2*sqrt(E*Fy*tf / tw) } / Ω</t>
  </si>
  <si>
    <t>(Ω = 2.0, Constant for web crippling - AISC page 9-18)</t>
  </si>
  <si>
    <t>R4/Ω =</t>
  </si>
  <si>
    <t>R4/Ω = { 0.40*tw^2*(3/d)*(tw/tf)^1.5*sqrt(E*Fy*tf / tw) } / Ω</t>
  </si>
  <si>
    <t>R5/Ω =</t>
  </si>
  <si>
    <t>R5/Ω = { 0.40*tw^2*(1-0.2*(tw/tf)^1.5)*sqrt(E*Fy*tf / tw) } / Ω</t>
  </si>
  <si>
    <t>R6/Ω =</t>
  </si>
  <si>
    <t>R6/Ω = { 0.40*tw^2*(4/d)*(tw/tf)^1.5*sqrt(E*Fy*tf / tw) } / Ω</t>
  </si>
  <si>
    <t>Rwy = R1/Ω+N*R2/Ω  (based on web yielding per AISC Eqn. J10-3, p. 16.1-117)</t>
  </si>
  <si>
    <t>N/d =</t>
  </si>
  <si>
    <t>N/d = Criteria for using either Eqn. J10-5a or J10-5b</t>
  </si>
  <si>
    <t>L,vert. =</t>
  </si>
  <si>
    <t>L,horiz. =</t>
  </si>
  <si>
    <t>Required Angle Thickness:</t>
  </si>
  <si>
    <r>
      <t>t</t>
    </r>
    <r>
      <rPr>
        <vertAlign val="subscript"/>
        <sz val="10"/>
        <color indexed="12"/>
        <rFont val="Arial"/>
        <family val="2"/>
      </rPr>
      <t>req'd</t>
    </r>
    <r>
      <rPr>
        <sz val="10"/>
        <color indexed="12"/>
        <rFont val="Arial"/>
        <family val="2"/>
      </rPr>
      <t xml:space="preserve"> =</t>
    </r>
  </si>
  <si>
    <r>
      <t>t</t>
    </r>
    <r>
      <rPr>
        <vertAlign val="subscript"/>
        <sz val="10"/>
        <color indexed="12"/>
        <rFont val="Arial"/>
        <family val="2"/>
      </rPr>
      <t>req'd</t>
    </r>
    <r>
      <rPr>
        <sz val="10"/>
        <color indexed="12"/>
        <rFont val="Arial"/>
        <family val="2"/>
      </rPr>
      <t xml:space="preserve"> = (4 R e /(Fy b / Ω)) ^ 0.5</t>
    </r>
  </si>
  <si>
    <r>
      <t>t</t>
    </r>
    <r>
      <rPr>
        <vertAlign val="subscript"/>
        <sz val="10"/>
        <rFont val="Arial"/>
        <family val="0"/>
      </rPr>
      <t>req'd</t>
    </r>
    <r>
      <rPr>
        <sz val="10"/>
        <rFont val="Arial"/>
        <family val="0"/>
      </rPr>
      <t xml:space="preserve"> = (4 R e /(Fy b / Ω)) ^ 0.5</t>
    </r>
  </si>
  <si>
    <t>Ω=</t>
  </si>
  <si>
    <t>2 = "NO", 1 = "YES"</t>
  </si>
  <si>
    <t>Weld in 1/16 of inch.</t>
  </si>
  <si>
    <t>Rn / Ω = C C1 D L / Ω</t>
  </si>
  <si>
    <t>Ω =</t>
  </si>
  <si>
    <t>Minimum Allowed Reaction</t>
  </si>
  <si>
    <t>ALLOWABLE END REACTION BASED ON END BEARING</t>
  </si>
  <si>
    <t>ALLOWABLE END REACTION BASED ON UNIFORM LOAD OR WEB SHEAR</t>
  </si>
  <si>
    <t>ALLOWABLE WELD CAPACITY</t>
  </si>
  <si>
    <t>FLEXIBLE SEAT ANGLE REACTION ANALYSIS</t>
  </si>
  <si>
    <t xml:space="preserve"> Using AISC 13th Edition Manual (ASD) and Tamboli, Akbar R.</t>
  </si>
  <si>
    <t xml:space="preserve">      Database", Version 13.0 (2005) as well as the AISC 13th Edition (ASD) Manual (2005).</t>
  </si>
  <si>
    <t xml:space="preserve">      engineer.  This procedure is based on the AISC 13th Edition (ASD) Manual (2005) Maximum Total Uniform Load </t>
  </si>
  <si>
    <t xml:space="preserve">      Tables on pages 3-33 to 3-95 and AISC Specification Chapter J10, pages 16.1-116 and 16.1-117.</t>
  </si>
  <si>
    <t>"ANGLEFLEXSEAT" --- ALLOWABLE STEEL BEAM END REACTION</t>
  </si>
  <si>
    <t xml:space="preserve">"ANGLEFLEXSEAT" is a spreadsheet program written in MS-Excel for the purpose of determining the capacity </t>
  </si>
  <si>
    <t xml:space="preserve">of a flexible seat angle connection and determine the allowable beam end reaction, the allowable end moment </t>
  </si>
  <si>
    <t>for the purpose of end connection design and the weld capacity of the angle to a steel connection.</t>
  </si>
  <si>
    <t>ANGLEFLEXSEAT</t>
  </si>
  <si>
    <t>Allowable End Reaction for Angle Seat Connection Design</t>
  </si>
  <si>
    <t>Program Environment:</t>
  </si>
  <si>
    <t>Microsoft Office Excel 2003</t>
  </si>
  <si>
    <t>Creation Date:</t>
  </si>
  <si>
    <t>Design References:</t>
  </si>
  <si>
    <r>
      <t>2. AISC spreadsheet, "</t>
    </r>
    <r>
      <rPr>
        <i/>
        <sz val="9"/>
        <rFont val="Arial"/>
        <family val="2"/>
      </rPr>
      <t>AISC_ShapesDatabase_v13.0-Current.xls</t>
    </r>
    <r>
      <rPr>
        <sz val="9"/>
        <rFont val="Arial"/>
        <family val="2"/>
      </rPr>
      <t>"</t>
    </r>
  </si>
  <si>
    <t>April 20th, 2010</t>
  </si>
  <si>
    <t>Minimum Angle thickness: (Handbook of Structural Steel…, p. 154-156)</t>
  </si>
  <si>
    <t>Allowable End Reaction Based on Either Uniform Load or Web Shear: (AISC p. 33-95)</t>
  </si>
  <si>
    <t>Allowable End Reaction Based on End Bearing Criteria for Beam: (AISC Section J10.3)</t>
  </si>
  <si>
    <t>Maximum Allowable Weld Capacity: (AISC Table 8-4)</t>
  </si>
  <si>
    <r>
      <t xml:space="preserve">3. </t>
    </r>
    <r>
      <rPr>
        <i/>
        <sz val="9"/>
        <rFont val="Arial"/>
        <family val="2"/>
      </rPr>
      <t xml:space="preserve">Handbook of Structural Steel Connection Design and Details; </t>
    </r>
    <r>
      <rPr>
        <sz val="9"/>
        <rFont val="Arial"/>
        <family val="2"/>
      </rPr>
      <t xml:space="preserve">Tamboli, </t>
    </r>
  </si>
  <si>
    <t xml:space="preserve">     Akbar R.; The McGraw-Hill Companies, Inc.; 1999</t>
  </si>
  <si>
    <t>2.   The user may select a beam from W, S, M, C, and MC shapes and angles from all AISC listed shapes.</t>
  </si>
  <si>
    <r>
      <t xml:space="preserve">3.  This program determines the appropriate minimum angle thickness from design procedures of the </t>
    </r>
    <r>
      <rPr>
        <i/>
        <sz val="9"/>
        <rFont val="Arial"/>
        <family val="2"/>
      </rPr>
      <t>Handbook</t>
    </r>
  </si>
  <si>
    <r>
      <t xml:space="preserve">     </t>
    </r>
    <r>
      <rPr>
        <i/>
        <sz val="9"/>
        <rFont val="Arial"/>
        <family val="2"/>
      </rPr>
      <t>of Stuctural Steel Connection Design and Detail</t>
    </r>
    <r>
      <rPr>
        <sz val="9"/>
        <rFont val="Arial"/>
        <family val="2"/>
      </rPr>
      <t>, p. 154-156.</t>
    </r>
  </si>
  <si>
    <t xml:space="preserve">4.   This program utilizes the procedure which a steel fabricator would typically use to determine end connection </t>
  </si>
  <si>
    <t>5.   The welding capacity, found in this program, is from the AISC 13th Edition (ASD) Manual (2005) Coefficients C</t>
  </si>
  <si>
    <t xml:space="preserve">      for Eccentrically Loaded Weld Groups (Table 8-4) and AISC Specificiations Chapter J2, pages 16.1-93 to 16.1-102.</t>
  </si>
  <si>
    <r>
      <t xml:space="preserve">1. AISC </t>
    </r>
    <r>
      <rPr>
        <i/>
        <sz val="9"/>
        <rFont val="Arial"/>
        <family val="2"/>
      </rPr>
      <t>Steel Construction Manual</t>
    </r>
    <r>
      <rPr>
        <sz val="9"/>
        <rFont val="Arial"/>
        <family val="2"/>
      </rPr>
      <t>, 13th Ed.</t>
    </r>
  </si>
  <si>
    <t xml:space="preserve">6.  This program does not check the column or angle supporting member's web or flange as there are too many </t>
  </si>
  <si>
    <t xml:space="preserve">     variables for connection. </t>
  </si>
  <si>
    <t xml:space="preserve">7.  This program contains “comment boxes” which contain a wide variety of information including explanations </t>
  </si>
  <si>
    <t>Version 1.2</t>
  </si>
  <si>
    <t>1. Revision 1.2 (5/31/10) Limited the angle width, 'b', to prevent erroneous output and limit angle bending stress.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</si>
</sst>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E+00"/>
    <numFmt numFmtId="176" formatCode="&quot;$&quot;#,##0\ ;\(&quot;$&quot;#,##0\)"/>
    <numFmt numFmtId="177" formatCode="mm/dd/yyyy"/>
    <numFmt numFmtId="178" formatCode="m/d/yy\ h:mm\ AM/PM"/>
    <numFmt numFmtId="179" formatCode="#\ ?/16\ &quot;in.&quot;"/>
    <numFmt numFmtId="180" formatCode="0.00000"/>
    <numFmt numFmtId="181" formatCode="0.000_)"/>
    <numFmt numFmtId="182" formatCode=".00"/>
    <numFmt numFmtId="183" formatCode="[$-409]dddd\,\ mmmm\ dd\,\ yyyy"/>
    <numFmt numFmtId="184" formatCode="0.0000000"/>
    <numFmt numFmtId="185" formatCode="0.000000"/>
    <numFmt numFmtId="186" formatCode="0.00000000"/>
    <numFmt numFmtId="187" formatCode="0.000000000"/>
    <numFmt numFmtId="188" formatCode="00000"/>
    <numFmt numFmtId="189" formatCode="0.0000000000"/>
    <numFmt numFmtId="190" formatCode="0.000000000000"/>
    <numFmt numFmtId="191" formatCode="0.00000000000000000"/>
    <numFmt numFmtId="192" formatCode="0.0000000000000000"/>
    <numFmt numFmtId="193" formatCode="0.000000000000000000"/>
    <numFmt numFmtId="194" formatCode="0.0000000000000000000"/>
    <numFmt numFmtId="195" formatCode="0.000000000000000"/>
    <numFmt numFmtId="196" formatCode="0.00000000000000"/>
    <numFmt numFmtId="197" formatCode="0.0000000000000"/>
    <numFmt numFmtId="198" formatCode="0.00000000000"/>
    <numFmt numFmtId="199" formatCode="&quot;$&quot;#,##0\ ;[Red]\(&quot;$&quot;#,##0\)"/>
    <numFmt numFmtId="200" formatCode="&quot;$&quot;#,##0.00\ ;\(&quot;$&quot;#,##0.00\)"/>
    <numFmt numFmtId="201" formatCode="&quot;$&quot;#,##0.00\ ;[Red]\(&quot;$&quot;#,##0.00\)"/>
    <numFmt numFmtId="202" formatCode="m/d"/>
    <numFmt numFmtId="203" formatCode="mm/dd/yy"/>
    <numFmt numFmtId="204" formatCode="mm/dd/yy\ h:mm"/>
    <numFmt numFmtId="205" formatCode="0.0000E+00"/>
    <numFmt numFmtId="206" formatCode="0.00_)"/>
    <numFmt numFmtId="207" formatCode="0;[Red]0"/>
    <numFmt numFmtId="208" formatCode="#\ ?/4"/>
    <numFmt numFmtId="209" formatCode="0\ &quot;ksi&quot;"/>
    <numFmt numFmtId="210" formatCode="#\ ?/8"/>
    <numFmt numFmtId="211" formatCode="#\ ?/8\ &quot;in.&quot;"/>
    <numFmt numFmtId="212" formatCode="#\ ?/2\ &quot;in.&quot;"/>
    <numFmt numFmtId="213" formatCode="#\ ?/4\ &quot;in.&quot;"/>
    <numFmt numFmtId="214" formatCode="0\ &quot;in.&quot;"/>
    <numFmt numFmtId="215" formatCode="_(* #,##0.000_);_(* \(#,##0.000\);_(* &quot;-&quot;??_);_(@_)"/>
    <numFmt numFmtId="216" formatCode="0.0%"/>
    <numFmt numFmtId="217" formatCode="mmmm\ d\,\ yyyy"/>
    <numFmt numFmtId="218" formatCode="0.000%"/>
    <numFmt numFmtId="219" formatCode="0.0000000000000000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##&quot; IN.&quot;"/>
    <numFmt numFmtId="225" formatCode="#\ ??/??\ &quot; IN.&quot;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Symbol"/>
      <family val="1"/>
    </font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10"/>
      <color indexed="12"/>
      <name val="Symbol"/>
      <family val="1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sz val="8"/>
      <color indexed="12"/>
      <name val="Arial"/>
      <family val="2"/>
    </font>
    <font>
      <sz val="10"/>
      <color indexed="43"/>
      <name val="Arial"/>
      <family val="2"/>
    </font>
    <font>
      <i/>
      <sz val="10"/>
      <color indexed="8"/>
      <name val="Arial"/>
      <family val="0"/>
    </font>
    <font>
      <b/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sz val="9"/>
      <color indexed="12"/>
      <name val="Arial"/>
      <family val="2"/>
    </font>
    <font>
      <b/>
      <u val="single"/>
      <sz val="9"/>
      <color indexed="8"/>
      <name val="Arial"/>
      <family val="2"/>
    </font>
    <font>
      <sz val="8"/>
      <name val="Tahoma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10"/>
      <name val="Symbol"/>
      <family val="1"/>
    </font>
    <font>
      <vertAlign val="subscript"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b/>
      <u val="single"/>
      <sz val="8"/>
      <name val="Tahoma"/>
      <family val="2"/>
    </font>
    <font>
      <u val="single"/>
      <sz val="8"/>
      <name val="Tahoma"/>
      <family val="2"/>
    </font>
    <font>
      <b/>
      <sz val="6"/>
      <name val="Arial"/>
      <family val="2"/>
    </font>
    <font>
      <sz val="8"/>
      <name val="Symbol"/>
      <family val="1"/>
    </font>
    <font>
      <sz val="11"/>
      <color indexed="8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55" fillId="3" borderId="0" applyNumberFormat="0" applyBorder="0" applyAlignment="0" applyProtection="0"/>
    <xf numFmtId="0" fontId="59" fillId="20" borderId="1" applyNumberFormat="0" applyAlignment="0" applyProtection="0"/>
    <xf numFmtId="0" fontId="6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7" borderId="1" applyNumberFormat="0" applyAlignment="0" applyProtection="0"/>
    <xf numFmtId="0" fontId="60" fillId="0" borderId="4" applyNumberFormat="0" applyFill="0" applyAlignment="0" applyProtection="0"/>
    <xf numFmtId="0" fontId="56" fillId="22" borderId="0" applyNumberFormat="0" applyBorder="0" applyAlignment="0" applyProtection="0"/>
    <xf numFmtId="0" fontId="0" fillId="23" borderId="5" applyNumberFormat="0" applyFont="0" applyAlignment="0" applyProtection="0"/>
    <xf numFmtId="0" fontId="58" fillId="20" borderId="6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7" applyNumberFormat="0" applyFont="0" applyFill="0" applyAlignment="0" applyProtection="0"/>
    <xf numFmtId="0" fontId="62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174" fontId="6" fillId="24" borderId="0" xfId="0" applyNumberFormat="1" applyFont="1" applyFill="1" applyBorder="1" applyAlignment="1" applyProtection="1">
      <alignment horizontal="centerContinuous"/>
      <protection hidden="1"/>
    </xf>
    <xf numFmtId="0" fontId="6" fillId="24" borderId="0" xfId="0" applyFont="1" applyFill="1" applyBorder="1" applyAlignment="1" applyProtection="1">
      <alignment horizontal="centerContinuous"/>
      <protection hidden="1"/>
    </xf>
    <xf numFmtId="2" fontId="3" fillId="24" borderId="0" xfId="0" applyNumberFormat="1" applyFont="1" applyFill="1" applyBorder="1" applyAlignment="1" applyProtection="1">
      <alignment horizontal="center"/>
      <protection hidden="1"/>
    </xf>
    <xf numFmtId="2" fontId="6" fillId="24" borderId="0" xfId="0" applyNumberFormat="1" applyFont="1" applyFill="1" applyBorder="1" applyAlignment="1" applyProtection="1">
      <alignment horizontal="center"/>
      <protection hidden="1"/>
    </xf>
    <xf numFmtId="2" fontId="6" fillId="24" borderId="0" xfId="0" applyNumberFormat="1" applyFont="1" applyFill="1" applyBorder="1" applyAlignment="1" applyProtection="1">
      <alignment horizontal="left"/>
      <protection hidden="1"/>
    </xf>
    <xf numFmtId="174" fontId="3" fillId="24" borderId="0" xfId="0" applyNumberFormat="1" applyFont="1" applyFill="1" applyBorder="1" applyAlignment="1" applyProtection="1">
      <alignment horizontal="center"/>
      <protection hidden="1"/>
    </xf>
    <xf numFmtId="0" fontId="6" fillId="24" borderId="0" xfId="0" applyFont="1" applyFill="1" applyBorder="1" applyAlignment="1" applyProtection="1">
      <alignment horizontal="center"/>
      <protection hidden="1"/>
    </xf>
    <xf numFmtId="2" fontId="3" fillId="24" borderId="0" xfId="0" applyNumberFormat="1" applyFont="1" applyFill="1" applyBorder="1" applyAlignment="1" applyProtection="1">
      <alignment horizontal="center"/>
      <protection hidden="1"/>
    </xf>
    <xf numFmtId="173" fontId="6" fillId="24" borderId="0" xfId="0" applyNumberFormat="1" applyFont="1" applyFill="1" applyBorder="1" applyAlignment="1" applyProtection="1">
      <alignment horizontal="center"/>
      <protection hidden="1"/>
    </xf>
    <xf numFmtId="174" fontId="3" fillId="24" borderId="0" xfId="0" applyNumberFormat="1" applyFont="1" applyFill="1" applyBorder="1" applyAlignment="1" applyProtection="1">
      <alignment horizontal="center"/>
      <protection hidden="1"/>
    </xf>
    <xf numFmtId="173" fontId="3" fillId="24" borderId="0" xfId="0" applyNumberFormat="1" applyFont="1" applyFill="1" applyBorder="1" applyAlignment="1" applyProtection="1">
      <alignment horizontal="center"/>
      <protection hidden="1"/>
    </xf>
    <xf numFmtId="173" fontId="3" fillId="24" borderId="0" xfId="0" applyNumberFormat="1" applyFont="1" applyFill="1" applyBorder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8" xfId="0" applyFill="1" applyBorder="1" applyAlignment="1" applyProtection="1">
      <alignment/>
      <protection hidden="1"/>
    </xf>
    <xf numFmtId="0" fontId="2" fillId="25" borderId="9" xfId="0" applyFont="1" applyFill="1" applyBorder="1" applyAlignment="1" applyProtection="1">
      <alignment horizontal="centerContinuous"/>
      <protection hidden="1"/>
    </xf>
    <xf numFmtId="0" fontId="2" fillId="25" borderId="0" xfId="0" applyFont="1" applyFill="1" applyBorder="1" applyAlignment="1" applyProtection="1">
      <alignment horizontal="centerContinuous"/>
      <protection hidden="1"/>
    </xf>
    <xf numFmtId="0" fontId="2" fillId="25" borderId="10" xfId="0" applyFont="1" applyFill="1" applyBorder="1" applyAlignment="1" applyProtection="1">
      <alignment horizontal="centerContinuous"/>
      <protection hidden="1"/>
    </xf>
    <xf numFmtId="0" fontId="0" fillId="24" borderId="9" xfId="0" applyFill="1" applyBorder="1" applyAlignment="1" applyProtection="1">
      <alignment/>
      <protection hidden="1"/>
    </xf>
    <xf numFmtId="0" fontId="3" fillId="24" borderId="0" xfId="0" applyFont="1" applyFill="1" applyBorder="1" applyAlignment="1" applyProtection="1">
      <alignment horizontal="centerContinuous"/>
      <protection hidden="1"/>
    </xf>
    <xf numFmtId="0" fontId="3" fillId="24" borderId="0" xfId="0" applyFont="1" applyFill="1" applyBorder="1" applyAlignment="1" applyProtection="1">
      <alignment/>
      <protection hidden="1"/>
    </xf>
    <xf numFmtId="0" fontId="3" fillId="24" borderId="0" xfId="0" applyFont="1" applyFill="1" applyBorder="1" applyAlignment="1" applyProtection="1">
      <alignment/>
      <protection hidden="1"/>
    </xf>
    <xf numFmtId="0" fontId="3" fillId="24" borderId="0" xfId="0" applyFont="1" applyFill="1" applyBorder="1" applyAlignment="1" applyProtection="1">
      <alignment horizontal="center"/>
      <protection hidden="1"/>
    </xf>
    <xf numFmtId="0" fontId="3" fillId="24" borderId="0" xfId="0" applyFont="1" applyFill="1" applyAlignment="1" applyProtection="1">
      <alignment/>
      <protection hidden="1"/>
    </xf>
    <xf numFmtId="0" fontId="1" fillId="24" borderId="0" xfId="0" applyFont="1" applyFill="1" applyBorder="1" applyAlignment="1" applyProtection="1">
      <alignment/>
      <protection hidden="1"/>
    </xf>
    <xf numFmtId="0" fontId="3" fillId="24" borderId="0" xfId="0" applyFont="1" applyFill="1" applyAlignment="1" applyProtection="1">
      <alignment horizontal="left"/>
      <protection hidden="1"/>
    </xf>
    <xf numFmtId="0" fontId="19" fillId="24" borderId="0" xfId="0" applyFont="1" applyFill="1" applyAlignment="1" applyProtection="1">
      <alignment/>
      <protection hidden="1"/>
    </xf>
    <xf numFmtId="0" fontId="3" fillId="24" borderId="0" xfId="0" applyFont="1" applyFill="1" applyAlignment="1" applyProtection="1">
      <alignment horizontal="right"/>
      <protection hidden="1"/>
    </xf>
    <xf numFmtId="0" fontId="3" fillId="24" borderId="0" xfId="0" applyFont="1" applyFill="1" applyAlignment="1" applyProtection="1">
      <alignment horizontal="center"/>
      <protection hidden="1"/>
    </xf>
    <xf numFmtId="0" fontId="6" fillId="24" borderId="0" xfId="0" applyFont="1" applyFill="1" applyAlignment="1" applyProtection="1">
      <alignment horizontal="center"/>
      <protection hidden="1"/>
    </xf>
    <xf numFmtId="0" fontId="14" fillId="24" borderId="0" xfId="0" applyFont="1" applyFill="1" applyAlignment="1" applyProtection="1">
      <alignment horizontal="center"/>
      <protection hidden="1"/>
    </xf>
    <xf numFmtId="0" fontId="3" fillId="24" borderId="0" xfId="0" applyFont="1" applyFill="1" applyBorder="1" applyAlignment="1" applyProtection="1">
      <alignment/>
      <protection hidden="1"/>
    </xf>
    <xf numFmtId="0" fontId="3" fillId="24" borderId="0" xfId="0" applyFont="1" applyFill="1" applyAlignment="1" applyProtection="1">
      <alignment horizontal="left"/>
      <protection hidden="1"/>
    </xf>
    <xf numFmtId="174" fontId="3" fillId="24" borderId="0" xfId="0" applyNumberFormat="1" applyFont="1" applyFill="1" applyAlignment="1" applyProtection="1">
      <alignment horizontal="center"/>
      <protection hidden="1"/>
    </xf>
    <xf numFmtId="0" fontId="3" fillId="24" borderId="0" xfId="0" applyNumberFormat="1" applyFont="1" applyFill="1" applyAlignment="1" applyProtection="1">
      <alignment horizontal="center"/>
      <protection hidden="1"/>
    </xf>
    <xf numFmtId="2" fontId="3" fillId="24" borderId="0" xfId="0" applyNumberFormat="1" applyFont="1" applyFill="1" applyAlignment="1" applyProtection="1">
      <alignment horizontal="center"/>
      <protection hidden="1"/>
    </xf>
    <xf numFmtId="174" fontId="3" fillId="24" borderId="0" xfId="0" applyNumberFormat="1" applyFont="1" applyFill="1" applyAlignment="1" applyProtection="1">
      <alignment horizontal="center"/>
      <protection hidden="1"/>
    </xf>
    <xf numFmtId="0" fontId="0" fillId="24" borderId="0" xfId="0" applyFill="1" applyBorder="1" applyAlignment="1" applyProtection="1">
      <alignment horizontal="right"/>
      <protection hidden="1"/>
    </xf>
    <xf numFmtId="0" fontId="6" fillId="24" borderId="0" xfId="0" applyFont="1" applyFill="1" applyBorder="1" applyAlignment="1" applyProtection="1">
      <alignment/>
      <protection hidden="1"/>
    </xf>
    <xf numFmtId="174" fontId="6" fillId="24" borderId="0" xfId="0" applyNumberFormat="1" applyFont="1" applyFill="1" applyBorder="1" applyAlignment="1" applyProtection="1">
      <alignment horizontal="center"/>
      <protection hidden="1"/>
    </xf>
    <xf numFmtId="0" fontId="3" fillId="24" borderId="0" xfId="0" applyFont="1" applyFill="1" applyBorder="1" applyAlignment="1" applyProtection="1">
      <alignment horizontal="left"/>
      <protection hidden="1"/>
    </xf>
    <xf numFmtId="0" fontId="3" fillId="24" borderId="0" xfId="0" applyFont="1" applyFill="1" applyAlignment="1" applyProtection="1">
      <alignment horizontal="right"/>
      <protection hidden="1"/>
    </xf>
    <xf numFmtId="0" fontId="6" fillId="24" borderId="0" xfId="0" applyFont="1" applyFill="1" applyBorder="1" applyAlignment="1" applyProtection="1">
      <alignment horizontal="left"/>
      <protection hidden="1"/>
    </xf>
    <xf numFmtId="0" fontId="6" fillId="24" borderId="0" xfId="0" applyFont="1" applyFill="1" applyBorder="1" applyAlignment="1" applyProtection="1">
      <alignment/>
      <protection hidden="1"/>
    </xf>
    <xf numFmtId="0" fontId="7" fillId="24" borderId="0" xfId="0" applyFont="1" applyFill="1" applyBorder="1" applyAlignment="1" applyProtection="1">
      <alignment horizontal="left"/>
      <protection hidden="1"/>
    </xf>
    <xf numFmtId="0" fontId="3" fillId="24" borderId="0" xfId="0" applyFont="1" applyFill="1" applyAlignment="1" applyProtection="1">
      <alignment/>
      <protection hidden="1"/>
    </xf>
    <xf numFmtId="0" fontId="6" fillId="24" borderId="0" xfId="0" applyFont="1" applyFill="1" applyBorder="1" applyAlignment="1" applyProtection="1">
      <alignment horizontal="right"/>
      <protection hidden="1"/>
    </xf>
    <xf numFmtId="0" fontId="3" fillId="24" borderId="0" xfId="0" applyFont="1" applyFill="1" applyBorder="1" applyAlignment="1" applyProtection="1">
      <alignment horizontal="right"/>
      <protection hidden="1"/>
    </xf>
    <xf numFmtId="0" fontId="8" fillId="24" borderId="0" xfId="0" applyFont="1" applyFill="1" applyBorder="1" applyAlignment="1" applyProtection="1">
      <alignment/>
      <protection hidden="1"/>
    </xf>
    <xf numFmtId="0" fontId="6" fillId="24" borderId="0" xfId="0" applyFont="1" applyFill="1" applyBorder="1" applyAlignment="1" applyProtection="1">
      <alignment horizontal="left"/>
      <protection hidden="1"/>
    </xf>
    <xf numFmtId="173" fontId="6" fillId="24" borderId="0" xfId="0" applyNumberFormat="1" applyFont="1" applyFill="1" applyBorder="1" applyAlignment="1" applyProtection="1">
      <alignment horizontal="right"/>
      <protection hidden="1"/>
    </xf>
    <xf numFmtId="0" fontId="8" fillId="24" borderId="9" xfId="0" applyFont="1" applyFill="1" applyBorder="1" applyAlignment="1" applyProtection="1">
      <alignment/>
      <protection hidden="1"/>
    </xf>
    <xf numFmtId="0" fontId="6" fillId="24" borderId="0" xfId="0" applyFont="1" applyFill="1" applyBorder="1" applyAlignment="1" applyProtection="1">
      <alignment/>
      <protection hidden="1"/>
    </xf>
    <xf numFmtId="0" fontId="6" fillId="24" borderId="9" xfId="0" applyFont="1" applyFill="1" applyBorder="1" applyAlignment="1" applyProtection="1">
      <alignment horizontal="right"/>
      <protection hidden="1"/>
    </xf>
    <xf numFmtId="173" fontId="3" fillId="24" borderId="0" xfId="0" applyNumberFormat="1" applyFont="1" applyFill="1" applyAlignment="1" applyProtection="1">
      <alignment horizontal="center"/>
      <protection hidden="1"/>
    </xf>
    <xf numFmtId="173" fontId="3" fillId="24" borderId="0" xfId="0" applyNumberFormat="1" applyFont="1" applyFill="1" applyAlignment="1" applyProtection="1">
      <alignment horizontal="center"/>
      <protection hidden="1"/>
    </xf>
    <xf numFmtId="2" fontId="3" fillId="24" borderId="0" xfId="0" applyNumberFormat="1" applyFont="1" applyFill="1" applyBorder="1" applyAlignment="1" applyProtection="1">
      <alignment horizontal="left"/>
      <protection hidden="1"/>
    </xf>
    <xf numFmtId="0" fontId="6" fillId="24" borderId="9" xfId="0" applyFont="1" applyFill="1" applyBorder="1" applyAlignment="1" applyProtection="1">
      <alignment/>
      <protection hidden="1"/>
    </xf>
    <xf numFmtId="0" fontId="13" fillId="24" borderId="0" xfId="0" applyFont="1" applyFill="1" applyAlignment="1" applyProtection="1">
      <alignment horizontal="right"/>
      <protection hidden="1"/>
    </xf>
    <xf numFmtId="0" fontId="13" fillId="24" borderId="0" xfId="0" applyFont="1" applyFill="1" applyAlignment="1" applyProtection="1">
      <alignment horizontal="left"/>
      <protection hidden="1"/>
    </xf>
    <xf numFmtId="0" fontId="6" fillId="24" borderId="0" xfId="0" applyFont="1" applyFill="1" applyBorder="1" applyAlignment="1" applyProtection="1">
      <alignment horizontal="center"/>
      <protection hidden="1"/>
    </xf>
    <xf numFmtId="0" fontId="1" fillId="24" borderId="0" xfId="0" applyFont="1" applyFill="1" applyAlignment="1" applyProtection="1">
      <alignment/>
      <protection hidden="1"/>
    </xf>
    <xf numFmtId="0" fontId="9" fillId="24" borderId="0" xfId="0" applyFont="1" applyFill="1" applyBorder="1" applyAlignment="1" applyProtection="1">
      <alignment horizontal="left"/>
      <protection hidden="1"/>
    </xf>
    <xf numFmtId="0" fontId="3" fillId="24" borderId="0" xfId="0" applyFont="1" applyFill="1" applyAlignment="1" applyProtection="1">
      <alignment horizontal="center"/>
      <protection hidden="1"/>
    </xf>
    <xf numFmtId="2" fontId="14" fillId="24" borderId="0" xfId="0" applyNumberFormat="1" applyFont="1" applyFill="1" applyAlignment="1" applyProtection="1">
      <alignment horizontal="center"/>
      <protection hidden="1"/>
    </xf>
    <xf numFmtId="174" fontId="1" fillId="24" borderId="0" xfId="0" applyNumberFormat="1" applyFont="1" applyFill="1" applyBorder="1" applyAlignment="1" applyProtection="1">
      <alignment horizontal="left"/>
      <protection hidden="1"/>
    </xf>
    <xf numFmtId="2" fontId="6" fillId="24" borderId="0" xfId="0" applyNumberFormat="1" applyFont="1" applyFill="1" applyBorder="1" applyAlignment="1" applyProtection="1">
      <alignment horizontal="center"/>
      <protection hidden="1"/>
    </xf>
    <xf numFmtId="0" fontId="6" fillId="24" borderId="0" xfId="0" applyFont="1" applyFill="1" applyBorder="1" applyAlignment="1" applyProtection="1">
      <alignment/>
      <protection hidden="1"/>
    </xf>
    <xf numFmtId="0" fontId="6" fillId="24" borderId="0" xfId="0" applyFont="1" applyFill="1" applyBorder="1" applyAlignment="1" applyProtection="1">
      <alignment horizontal="centerContinuous"/>
      <protection hidden="1"/>
    </xf>
    <xf numFmtId="0" fontId="1" fillId="24" borderId="0" xfId="0" applyFont="1" applyFill="1" applyBorder="1" applyAlignment="1" applyProtection="1">
      <alignment horizontal="left"/>
      <protection hidden="1"/>
    </xf>
    <xf numFmtId="0" fontId="6" fillId="24" borderId="0" xfId="0" applyFont="1" applyFill="1" applyBorder="1" applyAlignment="1" applyProtection="1">
      <alignment horizontal="right"/>
      <protection hidden="1"/>
    </xf>
    <xf numFmtId="0" fontId="6" fillId="24" borderId="8" xfId="0" applyFont="1" applyFill="1" applyBorder="1" applyAlignment="1" applyProtection="1">
      <alignment/>
      <protection hidden="1"/>
    </xf>
    <xf numFmtId="174" fontId="6" fillId="24" borderId="0" xfId="0" applyNumberFormat="1" applyFont="1" applyFill="1" applyBorder="1" applyAlignment="1" applyProtection="1">
      <alignment horizontal="left"/>
      <protection hidden="1"/>
    </xf>
    <xf numFmtId="174" fontId="8" fillId="24" borderId="0" xfId="0" applyNumberFormat="1" applyFont="1" applyFill="1" applyBorder="1" applyAlignment="1" applyProtection="1">
      <alignment horizontal="left"/>
      <protection hidden="1"/>
    </xf>
    <xf numFmtId="0" fontId="9" fillId="24" borderId="0" xfId="0" applyFont="1" applyFill="1" applyBorder="1" applyAlignment="1" applyProtection="1">
      <alignment horizontal="right"/>
      <protection hidden="1"/>
    </xf>
    <xf numFmtId="0" fontId="18" fillId="24" borderId="0" xfId="0" applyFont="1" applyFill="1" applyBorder="1" applyAlignment="1" applyProtection="1">
      <alignment horizontal="centerContinuous"/>
      <protection hidden="1"/>
    </xf>
    <xf numFmtId="0" fontId="16" fillId="24" borderId="0" xfId="0" applyFont="1" applyFill="1" applyBorder="1" applyAlignment="1" applyProtection="1">
      <alignment horizontal="right"/>
      <protection hidden="1"/>
    </xf>
    <xf numFmtId="0" fontId="13" fillId="24" borderId="0" xfId="0" applyFont="1" applyFill="1" applyBorder="1" applyAlignment="1" applyProtection="1">
      <alignment horizontal="left"/>
      <protection hidden="1"/>
    </xf>
    <xf numFmtId="0" fontId="3" fillId="24" borderId="0" xfId="0" applyFont="1" applyFill="1" applyBorder="1" applyAlignment="1" applyProtection="1">
      <alignment horizontal="left"/>
      <protection hidden="1"/>
    </xf>
    <xf numFmtId="174" fontId="3" fillId="24" borderId="0" xfId="0" applyNumberFormat="1" applyFont="1" applyFill="1" applyAlignment="1" applyProtection="1">
      <alignment horizontal="right"/>
      <protection hidden="1"/>
    </xf>
    <xf numFmtId="0" fontId="4" fillId="24" borderId="0" xfId="0" applyFont="1" applyFill="1" applyAlignment="1" applyProtection="1">
      <alignment horizontal="left"/>
      <protection hidden="1"/>
    </xf>
    <xf numFmtId="173" fontId="6" fillId="24" borderId="0" xfId="0" applyNumberFormat="1" applyFont="1" applyFill="1" applyBorder="1" applyAlignment="1" applyProtection="1">
      <alignment horizontal="left"/>
      <protection hidden="1"/>
    </xf>
    <xf numFmtId="2" fontId="6" fillId="24" borderId="0" xfId="0" applyNumberFormat="1" applyFont="1" applyFill="1" applyBorder="1" applyAlignment="1" applyProtection="1">
      <alignment/>
      <protection hidden="1"/>
    </xf>
    <xf numFmtId="174" fontId="6" fillId="24" borderId="0" xfId="0" applyNumberFormat="1" applyFont="1" applyFill="1" applyBorder="1" applyAlignment="1" applyProtection="1">
      <alignment/>
      <protection hidden="1"/>
    </xf>
    <xf numFmtId="0" fontId="7" fillId="24" borderId="0" xfId="0" applyFont="1" applyFill="1" applyBorder="1" applyAlignment="1" applyProtection="1">
      <alignment/>
      <protection hidden="1"/>
    </xf>
    <xf numFmtId="174" fontId="3" fillId="24" borderId="0" xfId="0" applyNumberFormat="1" applyFont="1" applyFill="1" applyBorder="1" applyAlignment="1" applyProtection="1">
      <alignment horizontal="left"/>
      <protection hidden="1"/>
    </xf>
    <xf numFmtId="0" fontId="3" fillId="24" borderId="0" xfId="0" applyFont="1" applyFill="1" applyBorder="1" applyAlignment="1" applyProtection="1">
      <alignment horizontal="right"/>
      <protection hidden="1"/>
    </xf>
    <xf numFmtId="0" fontId="3" fillId="24" borderId="0" xfId="0" applyFont="1" applyFill="1" applyBorder="1" applyAlignment="1" applyProtection="1">
      <alignment horizontal="center"/>
      <protection hidden="1"/>
    </xf>
    <xf numFmtId="174" fontId="6" fillId="24" borderId="0" xfId="0" applyNumberFormat="1" applyFont="1" applyFill="1" applyBorder="1" applyAlignment="1" applyProtection="1">
      <alignment horizontal="right"/>
      <protection hidden="1"/>
    </xf>
    <xf numFmtId="0" fontId="13" fillId="24" borderId="0" xfId="0" applyFont="1" applyFill="1" applyBorder="1" applyAlignment="1" applyProtection="1">
      <alignment horizontal="right"/>
      <protection hidden="1"/>
    </xf>
    <xf numFmtId="173" fontId="3" fillId="24" borderId="0" xfId="0" applyNumberFormat="1" applyFont="1" applyFill="1" applyBorder="1" applyAlignment="1" applyProtection="1">
      <alignment horizontal="right"/>
      <protection hidden="1"/>
    </xf>
    <xf numFmtId="174" fontId="3" fillId="24" borderId="0" xfId="0" applyNumberFormat="1" applyFont="1" applyFill="1" applyBorder="1" applyAlignment="1" applyProtection="1">
      <alignment horizontal="right"/>
      <protection hidden="1"/>
    </xf>
    <xf numFmtId="2" fontId="6" fillId="24" borderId="0" xfId="0" applyNumberFormat="1" applyFont="1" applyFill="1" applyBorder="1" applyAlignment="1" applyProtection="1">
      <alignment horizontal="right"/>
      <protection hidden="1"/>
    </xf>
    <xf numFmtId="14" fontId="6" fillId="24" borderId="0" xfId="0" applyNumberFormat="1" applyFont="1" applyFill="1" applyBorder="1" applyAlignment="1" applyProtection="1">
      <alignment horizontal="center"/>
      <protection hidden="1"/>
    </xf>
    <xf numFmtId="0" fontId="6" fillId="24" borderId="11" xfId="0" applyFont="1" applyFill="1" applyBorder="1" applyAlignment="1" applyProtection="1">
      <alignment horizontal="center"/>
      <protection hidden="1"/>
    </xf>
    <xf numFmtId="0" fontId="4" fillId="24" borderId="0" xfId="0" applyFont="1" applyFill="1" applyBorder="1" applyAlignment="1" applyProtection="1">
      <alignment horizontal="left"/>
      <protection hidden="1"/>
    </xf>
    <xf numFmtId="0" fontId="4" fillId="24" borderId="0" xfId="0" applyFont="1" applyFill="1" applyBorder="1" applyAlignment="1" applyProtection="1">
      <alignment/>
      <protection hidden="1"/>
    </xf>
    <xf numFmtId="0" fontId="4" fillId="24" borderId="0" xfId="0" applyFont="1" applyFill="1" applyBorder="1" applyAlignment="1" applyProtection="1">
      <alignment horizontal="centerContinuous"/>
      <protection hidden="1"/>
    </xf>
    <xf numFmtId="0" fontId="20" fillId="24" borderId="0" xfId="0" applyFont="1" applyFill="1" applyBorder="1" applyAlignment="1" applyProtection="1">
      <alignment/>
      <protection hidden="1"/>
    </xf>
    <xf numFmtId="0" fontId="7" fillId="24" borderId="0" xfId="0" applyFont="1" applyFill="1" applyBorder="1" applyAlignment="1" applyProtection="1">
      <alignment horizontal="centerContinuous"/>
      <protection hidden="1"/>
    </xf>
    <xf numFmtId="0" fontId="5" fillId="24" borderId="0" xfId="0" applyFont="1" applyFill="1" applyBorder="1" applyAlignment="1" applyProtection="1">
      <alignment horizontal="left"/>
      <protection hidden="1"/>
    </xf>
    <xf numFmtId="0" fontId="8" fillId="24" borderId="0" xfId="0" applyFont="1" applyFill="1" applyBorder="1" applyAlignment="1" applyProtection="1">
      <alignment horizontal="left"/>
      <protection hidden="1"/>
    </xf>
    <xf numFmtId="2" fontId="3" fillId="24" borderId="0" xfId="0" applyNumberFormat="1" applyFont="1" applyFill="1" applyBorder="1" applyAlignment="1" applyProtection="1" quotePrefix="1">
      <alignment horizontal="center"/>
      <protection hidden="1"/>
    </xf>
    <xf numFmtId="173" fontId="3" fillId="24" borderId="0" xfId="0" applyNumberFormat="1" applyFont="1" applyFill="1" applyBorder="1" applyAlignment="1" applyProtection="1">
      <alignment horizontal="left"/>
      <protection hidden="1"/>
    </xf>
    <xf numFmtId="13" fontId="3" fillId="24" borderId="0" xfId="0" applyNumberFormat="1" applyFont="1" applyFill="1" applyAlignment="1" applyProtection="1">
      <alignment horizontal="center"/>
      <protection hidden="1"/>
    </xf>
    <xf numFmtId="0" fontId="6" fillId="24" borderId="0" xfId="0" applyNumberFormat="1" applyFont="1" applyFill="1" applyBorder="1" applyAlignment="1" applyProtection="1">
      <alignment horizontal="center"/>
      <protection hidden="1"/>
    </xf>
    <xf numFmtId="0" fontId="21" fillId="25" borderId="12" xfId="0" applyFont="1" applyFill="1" applyBorder="1" applyAlignment="1" applyProtection="1">
      <alignment horizontal="centerContinuous"/>
      <protection hidden="1"/>
    </xf>
    <xf numFmtId="0" fontId="7" fillId="24" borderId="9" xfId="0" applyFont="1" applyFill="1" applyBorder="1" applyAlignment="1" applyProtection="1">
      <alignment/>
      <protection hidden="1"/>
    </xf>
    <xf numFmtId="0" fontId="7" fillId="24" borderId="9" xfId="0" applyFont="1" applyFill="1" applyBorder="1" applyAlignment="1" applyProtection="1">
      <alignment horizontal="left"/>
      <protection hidden="1"/>
    </xf>
    <xf numFmtId="2" fontId="6" fillId="24" borderId="0" xfId="0" applyNumberFormat="1" applyFont="1" applyFill="1" applyBorder="1" applyAlignment="1" applyProtection="1" quotePrefix="1">
      <alignment horizontal="center"/>
      <protection hidden="1"/>
    </xf>
    <xf numFmtId="18" fontId="6" fillId="24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9" fillId="24" borderId="0" xfId="0" applyFont="1" applyFill="1" applyBorder="1" applyAlignment="1" applyProtection="1">
      <alignment/>
      <protection hidden="1"/>
    </xf>
    <xf numFmtId="14" fontId="6" fillId="24" borderId="0" xfId="0" applyNumberFormat="1" applyFont="1" applyFill="1" applyBorder="1" applyAlignment="1" applyProtection="1">
      <alignment/>
      <protection hidden="1"/>
    </xf>
    <xf numFmtId="174" fontId="15" fillId="24" borderId="0" xfId="0" applyNumberFormat="1" applyFont="1" applyFill="1" applyBorder="1" applyAlignment="1" applyProtection="1">
      <alignment/>
      <protection hidden="1"/>
    </xf>
    <xf numFmtId="18" fontId="6" fillId="24" borderId="0" xfId="0" applyNumberFormat="1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173" fontId="6" fillId="24" borderId="0" xfId="0" applyNumberFormat="1" applyFont="1" applyFill="1" applyBorder="1" applyAlignment="1" applyProtection="1">
      <alignment/>
      <protection hidden="1"/>
    </xf>
    <xf numFmtId="173" fontId="6" fillId="24" borderId="0" xfId="0" applyNumberFormat="1" applyFont="1" applyFill="1" applyBorder="1" applyAlignment="1" applyProtection="1">
      <alignment/>
      <protection hidden="1"/>
    </xf>
    <xf numFmtId="2" fontId="6" fillId="24" borderId="0" xfId="0" applyNumberFormat="1" applyFont="1" applyFill="1" applyBorder="1" applyAlignment="1" applyProtection="1">
      <alignment/>
      <protection hidden="1"/>
    </xf>
    <xf numFmtId="0" fontId="15" fillId="24" borderId="0" xfId="0" applyFont="1" applyFill="1" applyBorder="1" applyAlignment="1" applyProtection="1">
      <alignment/>
      <protection hidden="1"/>
    </xf>
    <xf numFmtId="0" fontId="18" fillId="24" borderId="0" xfId="0" applyFont="1" applyFill="1" applyBorder="1" applyAlignment="1" applyProtection="1">
      <alignment/>
      <protection hidden="1"/>
    </xf>
    <xf numFmtId="172" fontId="3" fillId="24" borderId="0" xfId="0" applyNumberFormat="1" applyFont="1" applyFill="1" applyBorder="1" applyAlignment="1" applyProtection="1">
      <alignment horizontal="center"/>
      <protection hidden="1"/>
    </xf>
    <xf numFmtId="2" fontId="3" fillId="24" borderId="0" xfId="0" applyNumberFormat="1" applyFont="1" applyFill="1" applyBorder="1" applyAlignment="1" applyProtection="1">
      <alignment horizontal="right"/>
      <protection hidden="1"/>
    </xf>
    <xf numFmtId="0" fontId="8" fillId="24" borderId="0" xfId="0" applyFont="1" applyFill="1" applyBorder="1" applyAlignment="1" applyProtection="1">
      <alignment horizontal="right"/>
      <protection hidden="1"/>
    </xf>
    <xf numFmtId="172" fontId="6" fillId="24" borderId="0" xfId="0" applyNumberFormat="1" applyFont="1" applyFill="1" applyBorder="1" applyAlignment="1" applyProtection="1">
      <alignment horizontal="center"/>
      <protection hidden="1"/>
    </xf>
    <xf numFmtId="0" fontId="6" fillId="25" borderId="13" xfId="0" applyFont="1" applyFill="1" applyBorder="1" applyAlignment="1" applyProtection="1">
      <alignment horizontal="centerContinuous"/>
      <protection hidden="1"/>
    </xf>
    <xf numFmtId="0" fontId="7" fillId="25" borderId="13" xfId="0" applyFont="1" applyFill="1" applyBorder="1" applyAlignment="1" applyProtection="1">
      <alignment horizontal="centerContinuous"/>
      <protection hidden="1"/>
    </xf>
    <xf numFmtId="174" fontId="3" fillId="22" borderId="14" xfId="0" applyNumberFormat="1" applyFont="1" applyFill="1" applyBorder="1" applyAlignment="1" applyProtection="1">
      <alignment horizontal="center"/>
      <protection locked="0"/>
    </xf>
    <xf numFmtId="174" fontId="3" fillId="24" borderId="15" xfId="0" applyNumberFormat="1" applyFont="1" applyFill="1" applyBorder="1" applyAlignment="1" applyProtection="1">
      <alignment horizontal="center"/>
      <protection hidden="1"/>
    </xf>
    <xf numFmtId="2" fontId="3" fillId="24" borderId="15" xfId="0" applyNumberFormat="1" applyFont="1" applyFill="1" applyBorder="1" applyAlignment="1" applyProtection="1">
      <alignment horizontal="center"/>
      <protection hidden="1"/>
    </xf>
    <xf numFmtId="2" fontId="3" fillId="24" borderId="14" xfId="0" applyNumberFormat="1" applyFont="1" applyFill="1" applyBorder="1" applyAlignment="1" applyProtection="1">
      <alignment horizontal="center"/>
      <protection hidden="1"/>
    </xf>
    <xf numFmtId="2" fontId="3" fillId="24" borderId="16" xfId="0" applyNumberFormat="1" applyFont="1" applyFill="1" applyBorder="1" applyAlignment="1" applyProtection="1">
      <alignment horizontal="center"/>
      <protection hidden="1"/>
    </xf>
    <xf numFmtId="174" fontId="3" fillId="24" borderId="14" xfId="0" applyNumberFormat="1" applyFont="1" applyFill="1" applyBorder="1" applyAlignment="1" applyProtection="1">
      <alignment horizontal="center"/>
      <protection hidden="1"/>
    </xf>
    <xf numFmtId="0" fontId="16" fillId="24" borderId="0" xfId="0" applyFont="1" applyFill="1" applyBorder="1" applyAlignment="1" applyProtection="1">
      <alignment horizontal="center"/>
      <protection hidden="1"/>
    </xf>
    <xf numFmtId="0" fontId="2" fillId="25" borderId="17" xfId="0" applyFont="1" applyFill="1" applyBorder="1" applyAlignment="1" applyProtection="1">
      <alignment horizontal="centerContinuous"/>
      <protection hidden="1"/>
    </xf>
    <xf numFmtId="0" fontId="3" fillId="24" borderId="12" xfId="0" applyFont="1" applyFill="1" applyBorder="1" applyAlignment="1" applyProtection="1">
      <alignment horizontal="centerContinuous"/>
      <protection hidden="1"/>
    </xf>
    <xf numFmtId="0" fontId="3" fillId="24" borderId="13" xfId="0" applyFont="1" applyFill="1" applyBorder="1" applyAlignment="1" applyProtection="1">
      <alignment horizontal="centerContinuous"/>
      <protection hidden="1"/>
    </xf>
    <xf numFmtId="0" fontId="0" fillId="24" borderId="18" xfId="0" applyFill="1" applyBorder="1" applyAlignment="1" applyProtection="1">
      <alignment horizontal="center"/>
      <protection hidden="1"/>
    </xf>
    <xf numFmtId="49" fontId="3" fillId="24" borderId="19" xfId="0" applyNumberFormat="1" applyFont="1" applyFill="1" applyBorder="1" applyAlignment="1" applyProtection="1">
      <alignment/>
      <protection locked="0"/>
    </xf>
    <xf numFmtId="49" fontId="3" fillId="24" borderId="20" xfId="0" applyNumberFormat="1" applyFont="1" applyFill="1" applyBorder="1" applyAlignment="1" applyProtection="1">
      <alignment/>
      <protection locked="0"/>
    </xf>
    <xf numFmtId="49" fontId="3" fillId="24" borderId="20" xfId="0" applyNumberFormat="1" applyFont="1" applyFill="1" applyBorder="1" applyAlignment="1" applyProtection="1">
      <alignment horizontal="centerContinuous"/>
      <protection locked="0"/>
    </xf>
    <xf numFmtId="0" fontId="3" fillId="24" borderId="17" xfId="0" applyFont="1" applyFill="1" applyBorder="1" applyAlignment="1" applyProtection="1">
      <alignment horizontal="centerContinuous"/>
      <protection hidden="1"/>
    </xf>
    <xf numFmtId="0" fontId="3" fillId="24" borderId="10" xfId="0" applyFont="1" applyFill="1" applyBorder="1" applyAlignment="1" applyProtection="1">
      <alignment horizontal="centerContinuous"/>
      <protection hidden="1"/>
    </xf>
    <xf numFmtId="49" fontId="3" fillId="24" borderId="17" xfId="0" applyNumberFormat="1" applyFont="1" applyFill="1" applyBorder="1" applyAlignment="1" applyProtection="1" quotePrefix="1">
      <alignment/>
      <protection locked="0"/>
    </xf>
    <xf numFmtId="49" fontId="3" fillId="24" borderId="10" xfId="0" applyNumberFormat="1" applyFont="1" applyFill="1" applyBorder="1" applyAlignment="1" applyProtection="1">
      <alignment/>
      <protection locked="0"/>
    </xf>
    <xf numFmtId="49" fontId="3" fillId="24" borderId="11" xfId="0" applyNumberFormat="1" applyFont="1" applyFill="1" applyBorder="1" applyAlignment="1" applyProtection="1">
      <alignment/>
      <protection locked="0"/>
    </xf>
    <xf numFmtId="0" fontId="3" fillId="24" borderId="21" xfId="0" applyFont="1" applyFill="1" applyBorder="1" applyAlignment="1" applyProtection="1">
      <alignment horizontal="centerContinuous"/>
      <protection hidden="1"/>
    </xf>
    <xf numFmtId="0" fontId="3" fillId="24" borderId="8" xfId="0" applyFont="1" applyFill="1" applyBorder="1" applyAlignment="1" applyProtection="1">
      <alignment horizontal="centerContinuous"/>
      <protection hidden="1"/>
    </xf>
    <xf numFmtId="0" fontId="16" fillId="24" borderId="11" xfId="0" applyFont="1" applyFill="1" applyBorder="1" applyAlignment="1" applyProtection="1">
      <alignment horizontal="center"/>
      <protection hidden="1"/>
    </xf>
    <xf numFmtId="0" fontId="24" fillId="24" borderId="0" xfId="0" applyFont="1" applyFill="1" applyBorder="1" applyAlignment="1" applyProtection="1">
      <alignment/>
      <protection hidden="1"/>
    </xf>
    <xf numFmtId="0" fontId="24" fillId="24" borderId="0" xfId="0" applyFont="1" applyFill="1" applyBorder="1" applyAlignment="1" applyProtection="1">
      <alignment horizontal="right"/>
      <protection hidden="1"/>
    </xf>
    <xf numFmtId="0" fontId="16" fillId="24" borderId="0" xfId="0" applyFont="1" applyFill="1" applyBorder="1" applyAlignment="1" applyProtection="1">
      <alignment/>
      <protection hidden="1"/>
    </xf>
    <xf numFmtId="0" fontId="16" fillId="24" borderId="0" xfId="0" applyFont="1" applyFill="1" applyBorder="1" applyAlignment="1" applyProtection="1">
      <alignment horizontal="left"/>
      <protection hidden="1"/>
    </xf>
    <xf numFmtId="0" fontId="25" fillId="24" borderId="0" xfId="0" applyFont="1" applyFill="1" applyBorder="1" applyAlignment="1" applyProtection="1">
      <alignment/>
      <protection hidden="1"/>
    </xf>
    <xf numFmtId="174" fontId="16" fillId="24" borderId="0" xfId="0" applyNumberFormat="1" applyFont="1" applyFill="1" applyBorder="1" applyAlignment="1" applyProtection="1">
      <alignment vertical="top"/>
      <protection hidden="1"/>
    </xf>
    <xf numFmtId="0" fontId="16" fillId="24" borderId="0" xfId="0" applyFont="1" applyFill="1" applyBorder="1" applyAlignment="1" applyProtection="1">
      <alignment/>
      <protection hidden="1"/>
    </xf>
    <xf numFmtId="0" fontId="27" fillId="24" borderId="0" xfId="0" applyFont="1" applyFill="1" applyAlignment="1">
      <alignment horizontal="centerContinuous"/>
    </xf>
    <xf numFmtId="0" fontId="28" fillId="24" borderId="0" xfId="0" applyFont="1" applyFill="1" applyAlignment="1">
      <alignment horizontal="centerContinuous"/>
    </xf>
    <xf numFmtId="0" fontId="28" fillId="24" borderId="0" xfId="0" applyFont="1" applyFill="1" applyAlignment="1">
      <alignment/>
    </xf>
    <xf numFmtId="0" fontId="0" fillId="24" borderId="0" xfId="0" applyFill="1" applyAlignment="1">
      <alignment/>
    </xf>
    <xf numFmtId="0" fontId="29" fillId="24" borderId="0" xfId="0" applyFont="1" applyFill="1" applyAlignment="1">
      <alignment/>
    </xf>
    <xf numFmtId="0" fontId="30" fillId="24" borderId="19" xfId="0" applyFont="1" applyFill="1" applyBorder="1" applyAlignment="1">
      <alignment horizontal="centerContinuous"/>
    </xf>
    <xf numFmtId="0" fontId="31" fillId="24" borderId="20" xfId="0" applyFont="1" applyFill="1" applyBorder="1" applyAlignment="1">
      <alignment horizontal="centerContinuous"/>
    </xf>
    <xf numFmtId="0" fontId="31" fillId="24" borderId="22" xfId="0" applyFont="1" applyFill="1" applyBorder="1" applyAlignment="1">
      <alignment horizontal="centerContinuous"/>
    </xf>
    <xf numFmtId="0" fontId="0" fillId="24" borderId="20" xfId="0" applyFont="1" applyFill="1" applyBorder="1" applyAlignment="1">
      <alignment horizontal="centerContinuous"/>
    </xf>
    <xf numFmtId="0" fontId="0" fillId="24" borderId="22" xfId="0" applyFont="1" applyFill="1" applyBorder="1" applyAlignment="1">
      <alignment horizontal="centerContinuous"/>
    </xf>
    <xf numFmtId="0" fontId="28" fillId="0" borderId="12" xfId="0" applyFont="1" applyFill="1" applyBorder="1" applyAlignment="1">
      <alignment horizontal="centerContinuous"/>
    </xf>
    <xf numFmtId="0" fontId="28" fillId="0" borderId="13" xfId="0" applyFont="1" applyFill="1" applyBorder="1" applyAlignment="1">
      <alignment horizontal="centerContinuous"/>
    </xf>
    <xf numFmtId="0" fontId="28" fillId="0" borderId="21" xfId="0" applyFont="1" applyFill="1" applyBorder="1" applyAlignment="1">
      <alignment horizontal="centerContinuous"/>
    </xf>
    <xf numFmtId="0" fontId="28" fillId="0" borderId="17" xfId="0" applyFont="1" applyFill="1" applyBorder="1" applyAlignment="1">
      <alignment horizontal="centerContinuous"/>
    </xf>
    <xf numFmtId="0" fontId="28" fillId="0" borderId="10" xfId="0" applyFont="1" applyFill="1" applyBorder="1" applyAlignment="1">
      <alignment horizontal="centerContinuous"/>
    </xf>
    <xf numFmtId="0" fontId="28" fillId="0" borderId="23" xfId="0" applyFont="1" applyFill="1" applyBorder="1" applyAlignment="1">
      <alignment horizontal="centerContinuous"/>
    </xf>
    <xf numFmtId="0" fontId="28" fillId="24" borderId="0" xfId="0" applyFont="1" applyFill="1" applyBorder="1" applyAlignment="1">
      <alignment horizontal="centerContinuous"/>
    </xf>
    <xf numFmtId="0" fontId="28" fillId="24" borderId="0" xfId="0" applyFont="1" applyFill="1" applyBorder="1" applyAlignment="1">
      <alignment/>
    </xf>
    <xf numFmtId="0" fontId="32" fillId="24" borderId="0" xfId="0" applyFont="1" applyFill="1" applyAlignment="1">
      <alignment/>
    </xf>
    <xf numFmtId="0" fontId="20" fillId="24" borderId="0" xfId="0" applyFont="1" applyFill="1" applyBorder="1" applyAlignment="1" applyProtection="1">
      <alignment/>
      <protection hidden="1"/>
    </xf>
    <xf numFmtId="173" fontId="6" fillId="24" borderId="9" xfId="0" applyNumberFormat="1" applyFont="1" applyFill="1" applyBorder="1" applyAlignment="1" applyProtection="1">
      <alignment horizontal="right"/>
      <protection hidden="1"/>
    </xf>
    <xf numFmtId="0" fontId="16" fillId="24" borderId="24" xfId="0" applyNumberFormat="1" applyFont="1" applyFill="1" applyBorder="1" applyAlignment="1" applyProtection="1">
      <alignment horizontal="center"/>
      <protection hidden="1"/>
    </xf>
    <xf numFmtId="2" fontId="3" fillId="24" borderId="0" xfId="0" applyNumberFormat="1" applyFont="1" applyFill="1" applyAlignment="1" applyProtection="1">
      <alignment horizontal="left"/>
      <protection hidden="1"/>
    </xf>
    <xf numFmtId="2" fontId="3" fillId="24" borderId="0" xfId="0" applyNumberFormat="1" applyFont="1" applyFill="1" applyAlignment="1" applyProtection="1">
      <alignment/>
      <protection hidden="1"/>
    </xf>
    <xf numFmtId="174" fontId="16" fillId="24" borderId="0" xfId="0" applyNumberFormat="1" applyFont="1" applyFill="1" applyBorder="1" applyAlignment="1" applyProtection="1">
      <alignment horizontal="right" vertical="top"/>
      <protection hidden="1"/>
    </xf>
    <xf numFmtId="174" fontId="3" fillId="24" borderId="0" xfId="0" applyNumberFormat="1" applyFont="1" applyFill="1" applyBorder="1" applyAlignment="1" applyProtection="1">
      <alignment/>
      <protection hidden="1"/>
    </xf>
    <xf numFmtId="0" fontId="3" fillId="24" borderId="0" xfId="0" applyFont="1" applyFill="1" applyAlignment="1" applyProtection="1">
      <alignment/>
      <protection hidden="1"/>
    </xf>
    <xf numFmtId="0" fontId="24" fillId="24" borderId="0" xfId="0" applyFont="1" applyFill="1" applyBorder="1" applyAlignment="1" applyProtection="1">
      <alignment horizontal="left"/>
      <protection hidden="1"/>
    </xf>
    <xf numFmtId="0" fontId="21" fillId="24" borderId="0" xfId="0" applyFont="1" applyFill="1" applyBorder="1" applyAlignment="1" applyProtection="1">
      <alignment horizontal="centerContinuous"/>
      <protection hidden="1"/>
    </xf>
    <xf numFmtId="0" fontId="2" fillId="24" borderId="0" xfId="0" applyFont="1" applyFill="1" applyBorder="1" applyAlignment="1" applyProtection="1">
      <alignment horizontal="centerContinuous"/>
      <protection hidden="1"/>
    </xf>
    <xf numFmtId="0" fontId="0" fillId="24" borderId="0" xfId="0" applyFill="1" applyBorder="1" applyAlignment="1" applyProtection="1">
      <alignment horizontal="center"/>
      <protection hidden="1"/>
    </xf>
    <xf numFmtId="0" fontId="34" fillId="25" borderId="12" xfId="0" applyFont="1" applyFill="1" applyBorder="1" applyAlignment="1" applyProtection="1">
      <alignment horizontal="centerContinuous"/>
      <protection hidden="1"/>
    </xf>
    <xf numFmtId="0" fontId="0" fillId="25" borderId="13" xfId="0" applyFill="1" applyBorder="1" applyAlignment="1" applyProtection="1">
      <alignment horizontal="centerContinuous"/>
      <protection hidden="1"/>
    </xf>
    <xf numFmtId="0" fontId="0" fillId="25" borderId="21" xfId="0" applyFill="1" applyBorder="1" applyAlignment="1" applyProtection="1">
      <alignment horizontal="centerContinuous"/>
      <protection hidden="1"/>
    </xf>
    <xf numFmtId="0" fontId="0" fillId="25" borderId="0" xfId="0" applyFill="1" applyBorder="1" applyAlignment="1" applyProtection="1">
      <alignment horizontal="centerContinuous"/>
      <protection hidden="1"/>
    </xf>
    <xf numFmtId="0" fontId="0" fillId="25" borderId="8" xfId="0" applyFill="1" applyBorder="1" applyAlignment="1" applyProtection="1">
      <alignment horizontal="centerContinuous"/>
      <protection hidden="1"/>
    </xf>
    <xf numFmtId="0" fontId="0" fillId="25" borderId="10" xfId="0" applyFill="1" applyBorder="1" applyAlignment="1" applyProtection="1">
      <alignment horizontal="centerContinuous"/>
      <protection hidden="1"/>
    </xf>
    <xf numFmtId="0" fontId="0" fillId="25" borderId="23" xfId="0" applyFill="1" applyBorder="1" applyAlignment="1" applyProtection="1">
      <alignment horizontal="centerContinuous"/>
      <protection hidden="1"/>
    </xf>
    <xf numFmtId="13" fontId="3" fillId="24" borderId="0" xfId="0" applyNumberFormat="1" applyFont="1" applyFill="1" applyAlignment="1" applyProtection="1">
      <alignment horizontal="center"/>
      <protection hidden="1"/>
    </xf>
    <xf numFmtId="0" fontId="0" fillId="24" borderId="18" xfId="0" applyFill="1" applyBorder="1" applyAlignment="1" applyProtection="1">
      <alignment horizontal="right"/>
      <protection hidden="1"/>
    </xf>
    <xf numFmtId="0" fontId="6" fillId="24" borderId="18" xfId="0" applyFont="1" applyFill="1" applyBorder="1" applyAlignment="1" applyProtection="1">
      <alignment horizontal="center"/>
      <protection hidden="1"/>
    </xf>
    <xf numFmtId="174" fontId="16" fillId="24" borderId="0" xfId="0" applyNumberFormat="1" applyFont="1" applyFill="1" applyAlignment="1" applyProtection="1">
      <alignment horizontal="center"/>
      <protection hidden="1"/>
    </xf>
    <xf numFmtId="0" fontId="29" fillId="24" borderId="9" xfId="0" applyFont="1" applyFill="1" applyBorder="1" applyAlignment="1" applyProtection="1">
      <alignment horizontal="left"/>
      <protection hidden="1"/>
    </xf>
    <xf numFmtId="0" fontId="20" fillId="24" borderId="0" xfId="0" applyFont="1" applyFill="1" applyBorder="1" applyAlignment="1" applyProtection="1">
      <alignment horizontal="left"/>
      <protection hidden="1"/>
    </xf>
    <xf numFmtId="0" fontId="38" fillId="24" borderId="0" xfId="0" applyFont="1" applyFill="1" applyBorder="1" applyAlignment="1" applyProtection="1">
      <alignment horizontal="right"/>
      <protection hidden="1"/>
    </xf>
    <xf numFmtId="0" fontId="38" fillId="24" borderId="8" xfId="0" applyFont="1" applyFill="1" applyBorder="1" applyAlignment="1" applyProtection="1">
      <alignment/>
      <protection hidden="1"/>
    </xf>
    <xf numFmtId="0" fontId="3" fillId="24" borderId="0" xfId="0" applyNumberFormat="1" applyFont="1" applyFill="1" applyAlignment="1" applyProtection="1">
      <alignment horizontal="center"/>
      <protection hidden="1"/>
    </xf>
    <xf numFmtId="0" fontId="0" fillId="24" borderId="0" xfId="0" applyFill="1" applyBorder="1" applyAlignment="1" applyProtection="1">
      <alignment horizontal="left"/>
      <protection hidden="1"/>
    </xf>
    <xf numFmtId="0" fontId="0" fillId="24" borderId="8" xfId="0" applyFill="1" applyBorder="1" applyAlignment="1" applyProtection="1">
      <alignment/>
      <protection hidden="1"/>
    </xf>
    <xf numFmtId="13" fontId="3" fillId="22" borderId="14" xfId="0" applyNumberFormat="1" applyFont="1" applyFill="1" applyBorder="1" applyAlignment="1" applyProtection="1">
      <alignment horizontal="center"/>
      <protection locked="0"/>
    </xf>
    <xf numFmtId="0" fontId="24" fillId="24" borderId="8" xfId="0" applyFont="1" applyFill="1" applyBorder="1" applyAlignment="1" applyProtection="1">
      <alignment horizontal="left"/>
      <protection hidden="1"/>
    </xf>
    <xf numFmtId="2" fontId="3" fillId="24" borderId="0" xfId="0" applyNumberFormat="1" applyFont="1" applyFill="1" applyAlignment="1" applyProtection="1">
      <alignment horizontal="center"/>
      <protection hidden="1"/>
    </xf>
    <xf numFmtId="2" fontId="3" fillId="22" borderId="14" xfId="0" applyNumberFormat="1" applyFont="1" applyFill="1" applyBorder="1" applyAlignment="1" applyProtection="1">
      <alignment horizontal="center"/>
      <protection locked="0"/>
    </xf>
    <xf numFmtId="174" fontId="24" fillId="24" borderId="0" xfId="0" applyNumberFormat="1" applyFont="1" applyFill="1" applyBorder="1" applyAlignment="1" applyProtection="1">
      <alignment horizontal="right"/>
      <protection hidden="1"/>
    </xf>
    <xf numFmtId="0" fontId="20" fillId="24" borderId="0" xfId="0" applyFont="1" applyFill="1" applyBorder="1" applyAlignment="1" applyProtection="1">
      <alignment vertical="top"/>
      <protection hidden="1"/>
    </xf>
    <xf numFmtId="0" fontId="3" fillId="24" borderId="8" xfId="0" applyFont="1" applyFill="1" applyBorder="1" applyAlignment="1" applyProtection="1">
      <alignment horizontal="center"/>
      <protection hidden="1"/>
    </xf>
    <xf numFmtId="0" fontId="29" fillId="24" borderId="9" xfId="0" applyFont="1" applyFill="1" applyBorder="1" applyAlignment="1" applyProtection="1">
      <alignment/>
      <protection hidden="1"/>
    </xf>
    <xf numFmtId="0" fontId="32" fillId="24" borderId="0" xfId="0" applyFont="1" applyFill="1" applyBorder="1" applyAlignment="1" applyProtection="1">
      <alignment horizontal="left"/>
      <protection hidden="1"/>
    </xf>
    <xf numFmtId="0" fontId="14" fillId="24" borderId="0" xfId="0" applyFont="1" applyFill="1" applyBorder="1" applyAlignment="1" applyProtection="1">
      <alignment/>
      <protection hidden="1"/>
    </xf>
    <xf numFmtId="0" fontId="6" fillId="24" borderId="8" xfId="0" applyFont="1" applyFill="1" applyBorder="1" applyAlignment="1" applyProtection="1">
      <alignment horizontal="center"/>
      <protection hidden="1"/>
    </xf>
    <xf numFmtId="0" fontId="0" fillId="24" borderId="9" xfId="0" applyFont="1" applyFill="1" applyBorder="1" applyAlignment="1" applyProtection="1">
      <alignment/>
      <protection hidden="1"/>
    </xf>
    <xf numFmtId="0" fontId="4" fillId="24" borderId="0" xfId="0" applyFont="1" applyFill="1" applyAlignment="1" applyProtection="1">
      <alignment horizontal="center"/>
      <protection hidden="1"/>
    </xf>
    <xf numFmtId="0" fontId="0" fillId="24" borderId="0" xfId="0" applyFill="1" applyBorder="1" applyAlignment="1" applyProtection="1">
      <alignment/>
      <protection locked="0"/>
    </xf>
    <xf numFmtId="0" fontId="0" fillId="24" borderId="9" xfId="0" applyFill="1" applyBorder="1" applyAlignment="1" applyProtection="1">
      <alignment horizontal="left"/>
      <protection hidden="1"/>
    </xf>
    <xf numFmtId="0" fontId="7" fillId="25" borderId="19" xfId="0" applyFont="1" applyFill="1" applyBorder="1" applyAlignment="1" applyProtection="1">
      <alignment horizontal="centerContinuous"/>
      <protection hidden="1"/>
    </xf>
    <xf numFmtId="2" fontId="3" fillId="25" borderId="20" xfId="0" applyNumberFormat="1" applyFont="1" applyFill="1" applyBorder="1" applyAlignment="1" applyProtection="1">
      <alignment horizontal="centerContinuous"/>
      <protection hidden="1"/>
    </xf>
    <xf numFmtId="0" fontId="3" fillId="25" borderId="20" xfId="0" applyFont="1" applyFill="1" applyBorder="1" applyAlignment="1" applyProtection="1">
      <alignment horizontal="centerContinuous"/>
      <protection hidden="1"/>
    </xf>
    <xf numFmtId="0" fontId="14" fillId="25" borderId="20" xfId="0" applyFont="1" applyFill="1" applyBorder="1" applyAlignment="1" applyProtection="1">
      <alignment horizontal="centerContinuous"/>
      <protection hidden="1"/>
    </xf>
    <xf numFmtId="0" fontId="0" fillId="25" borderId="20" xfId="0" applyFont="1" applyFill="1" applyBorder="1" applyAlignment="1" applyProtection="1">
      <alignment horizontal="centerContinuous"/>
      <protection hidden="1"/>
    </xf>
    <xf numFmtId="0" fontId="0" fillId="25" borderId="22" xfId="0" applyFont="1" applyFill="1" applyBorder="1" applyAlignment="1" applyProtection="1">
      <alignment horizontal="centerContinuous"/>
      <protection hidden="1"/>
    </xf>
    <xf numFmtId="174" fontId="7" fillId="25" borderId="25" xfId="0" applyNumberFormat="1" applyFont="1" applyFill="1" applyBorder="1" applyAlignment="1" applyProtection="1">
      <alignment horizontal="centerContinuous"/>
      <protection hidden="1"/>
    </xf>
    <xf numFmtId="2" fontId="7" fillId="25" borderId="20" xfId="0" applyNumberFormat="1" applyFont="1" applyFill="1" applyBorder="1" applyAlignment="1" applyProtection="1">
      <alignment horizontal="centerContinuous"/>
      <protection hidden="1"/>
    </xf>
    <xf numFmtId="0" fontId="6" fillId="25" borderId="20" xfId="0" applyFont="1" applyFill="1" applyBorder="1" applyAlignment="1" applyProtection="1">
      <alignment horizontal="centerContinuous"/>
      <protection hidden="1"/>
    </xf>
    <xf numFmtId="2" fontId="6" fillId="25" borderId="20" xfId="0" applyNumberFormat="1" applyFont="1" applyFill="1" applyBorder="1" applyAlignment="1" applyProtection="1">
      <alignment horizontal="centerContinuous"/>
      <protection hidden="1"/>
    </xf>
    <xf numFmtId="0" fontId="6" fillId="25" borderId="22" xfId="0" applyFont="1" applyFill="1" applyBorder="1" applyAlignment="1" applyProtection="1">
      <alignment horizontal="centerContinuous"/>
      <protection hidden="1"/>
    </xf>
    <xf numFmtId="174" fontId="3" fillId="24" borderId="0" xfId="0" applyNumberFormat="1" applyFont="1" applyFill="1" applyBorder="1" applyAlignment="1" applyProtection="1">
      <alignment horizontal="centerContinuous"/>
      <protection hidden="1"/>
    </xf>
    <xf numFmtId="0" fontId="3" fillId="24" borderId="8" xfId="0" applyFont="1" applyFill="1" applyBorder="1" applyAlignment="1" applyProtection="1">
      <alignment horizontal="centerContinuous"/>
      <protection hidden="1"/>
    </xf>
    <xf numFmtId="0" fontId="7" fillId="25" borderId="18" xfId="0" applyFont="1" applyFill="1" applyBorder="1" applyAlignment="1" applyProtection="1">
      <alignment horizontal="center"/>
      <protection hidden="1"/>
    </xf>
    <xf numFmtId="0" fontId="6" fillId="25" borderId="10" xfId="0" applyNumberFormat="1" applyFont="1" applyFill="1" applyBorder="1" applyAlignment="1" applyProtection="1">
      <alignment horizontal="center"/>
      <protection hidden="1"/>
    </xf>
    <xf numFmtId="0" fontId="6" fillId="25" borderId="11" xfId="0" applyNumberFormat="1" applyFont="1" applyFill="1" applyBorder="1" applyAlignment="1" applyProtection="1">
      <alignment horizontal="center"/>
      <protection hidden="1"/>
    </xf>
    <xf numFmtId="172" fontId="6" fillId="25" borderId="10" xfId="0" applyNumberFormat="1" applyFont="1" applyFill="1" applyBorder="1" applyAlignment="1" applyProtection="1">
      <alignment horizontal="center"/>
      <protection hidden="1"/>
    </xf>
    <xf numFmtId="172" fontId="6" fillId="25" borderId="11" xfId="0" applyNumberFormat="1" applyFont="1" applyFill="1" applyBorder="1" applyAlignment="1" applyProtection="1">
      <alignment horizontal="center"/>
      <protection hidden="1"/>
    </xf>
    <xf numFmtId="2" fontId="6" fillId="25" borderId="15" xfId="0" applyNumberFormat="1" applyFont="1" applyFill="1" applyBorder="1" applyAlignment="1" applyProtection="1">
      <alignment horizontal="center"/>
      <protection hidden="1"/>
    </xf>
    <xf numFmtId="2" fontId="3" fillId="0" borderId="26" xfId="0" applyNumberFormat="1" applyFont="1" applyFill="1" applyBorder="1" applyAlignment="1" applyProtection="1">
      <alignment horizontal="center"/>
      <protection hidden="1"/>
    </xf>
    <xf numFmtId="2" fontId="3" fillId="0" borderId="27" xfId="0" applyNumberFormat="1" applyFont="1" applyFill="1" applyBorder="1" applyAlignment="1" applyProtection="1">
      <alignment horizontal="center"/>
      <protection hidden="1"/>
    </xf>
    <xf numFmtId="2" fontId="3" fillId="0" borderId="28" xfId="0" applyNumberFormat="1" applyFont="1" applyFill="1" applyBorder="1" applyAlignment="1" applyProtection="1">
      <alignment horizontal="center"/>
      <protection hidden="1"/>
    </xf>
    <xf numFmtId="0" fontId="40" fillId="24" borderId="9" xfId="0" applyFont="1" applyFill="1" applyBorder="1" applyAlignment="1" applyProtection="1">
      <alignment/>
      <protection hidden="1"/>
    </xf>
    <xf numFmtId="2" fontId="6" fillId="25" borderId="14" xfId="0" applyNumberFormat="1" applyFont="1" applyFill="1" applyBorder="1" applyAlignment="1" applyProtection="1">
      <alignment horizontal="center"/>
      <protection hidden="1"/>
    </xf>
    <xf numFmtId="2" fontId="3" fillId="0" borderId="29" xfId="0" applyNumberFormat="1" applyFont="1" applyFill="1" applyBorder="1" applyAlignment="1" applyProtection="1">
      <alignment horizontal="center"/>
      <protection hidden="1"/>
    </xf>
    <xf numFmtId="2" fontId="3" fillId="0" borderId="5" xfId="0" applyNumberFormat="1" applyFont="1" applyFill="1" applyBorder="1" applyAlignment="1" applyProtection="1">
      <alignment horizontal="center"/>
      <protection hidden="1"/>
    </xf>
    <xf numFmtId="2" fontId="3" fillId="0" borderId="30" xfId="0" applyNumberFormat="1" applyFont="1" applyFill="1" applyBorder="1" applyAlignment="1" applyProtection="1">
      <alignment horizontal="center"/>
      <protection hidden="1"/>
    </xf>
    <xf numFmtId="0" fontId="31" fillId="24" borderId="0" xfId="0" applyFont="1" applyFill="1" applyBorder="1" applyAlignment="1" applyProtection="1">
      <alignment/>
      <protection hidden="1"/>
    </xf>
    <xf numFmtId="0" fontId="42" fillId="24" borderId="0" xfId="0" applyFont="1" applyFill="1" applyBorder="1" applyAlignment="1" applyProtection="1">
      <alignment/>
      <protection hidden="1"/>
    </xf>
    <xf numFmtId="0" fontId="28" fillId="24" borderId="0" xfId="0" applyFont="1" applyFill="1" applyBorder="1" applyAlignment="1" applyProtection="1">
      <alignment horizontal="left"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0" fillId="24" borderId="9" xfId="0" applyFont="1" applyFill="1" applyBorder="1" applyAlignment="1" applyProtection="1">
      <alignment horizontal="right"/>
      <protection hidden="1"/>
    </xf>
    <xf numFmtId="174" fontId="3" fillId="0" borderId="29" xfId="0" applyNumberFormat="1" applyFont="1" applyFill="1" applyBorder="1" applyAlignment="1" applyProtection="1">
      <alignment horizontal="center"/>
      <protection hidden="1"/>
    </xf>
    <xf numFmtId="174" fontId="3" fillId="0" borderId="5" xfId="0" applyNumberFormat="1" applyFont="1" applyFill="1" applyBorder="1" applyAlignment="1" applyProtection="1">
      <alignment horizontal="center"/>
      <protection hidden="1"/>
    </xf>
    <xf numFmtId="0" fontId="43" fillId="24" borderId="0" xfId="0" applyFont="1" applyFill="1" applyBorder="1" applyAlignment="1" applyProtection="1">
      <alignment horizontal="left"/>
      <protection hidden="1"/>
    </xf>
    <xf numFmtId="174" fontId="0" fillId="24" borderId="0" xfId="0" applyNumberFormat="1" applyFont="1" applyFill="1" applyBorder="1" applyAlignment="1" applyProtection="1">
      <alignment horizontal="center"/>
      <protection hidden="1"/>
    </xf>
    <xf numFmtId="0" fontId="0" fillId="24" borderId="9" xfId="0" applyFont="1" applyFill="1" applyBorder="1" applyAlignment="1" applyProtection="1">
      <alignment horizontal="right"/>
      <protection hidden="1"/>
    </xf>
    <xf numFmtId="172" fontId="3" fillId="24" borderId="14" xfId="0" applyNumberFormat="1" applyFont="1" applyFill="1" applyBorder="1" applyAlignment="1" applyProtection="1">
      <alignment horizontal="center"/>
      <protection hidden="1"/>
    </xf>
    <xf numFmtId="0" fontId="44" fillId="24" borderId="0" xfId="0" applyFont="1" applyFill="1" applyBorder="1" applyAlignment="1" applyProtection="1">
      <alignment horizontal="centerContinuous"/>
      <protection hidden="1"/>
    </xf>
    <xf numFmtId="174" fontId="3" fillId="0" borderId="30" xfId="0" applyNumberFormat="1" applyFont="1" applyFill="1" applyBorder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174" fontId="3" fillId="24" borderId="16" xfId="0" applyNumberFormat="1" applyFont="1" applyFill="1" applyBorder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19" fillId="24" borderId="12" xfId="0" applyFont="1" applyFill="1" applyBorder="1" applyAlignment="1" applyProtection="1">
      <alignment horizontal="centerContinuous"/>
      <protection hidden="1"/>
    </xf>
    <xf numFmtId="0" fontId="0" fillId="24" borderId="21" xfId="0" applyFill="1" applyBorder="1" applyAlignment="1" applyProtection="1">
      <alignment horizontal="centerContinuous"/>
      <protection hidden="1"/>
    </xf>
    <xf numFmtId="0" fontId="4" fillId="24" borderId="9" xfId="0" applyNumberFormat="1" applyFont="1" applyFill="1" applyBorder="1" applyAlignment="1" applyProtection="1">
      <alignment horizontal="centerContinuous"/>
      <protection hidden="1"/>
    </xf>
    <xf numFmtId="0" fontId="0" fillId="24" borderId="8" xfId="0" applyFill="1" applyBorder="1" applyAlignment="1" applyProtection="1">
      <alignment horizontal="centerContinuous"/>
      <protection hidden="1"/>
    </xf>
    <xf numFmtId="0" fontId="4" fillId="24" borderId="17" xfId="0" applyFont="1" applyFill="1" applyBorder="1" applyAlignment="1" applyProtection="1">
      <alignment horizontal="centerContinuous"/>
      <protection hidden="1"/>
    </xf>
    <xf numFmtId="0" fontId="0" fillId="24" borderId="23" xfId="0" applyFill="1" applyBorder="1" applyAlignment="1" applyProtection="1">
      <alignment horizontal="centerContinuous"/>
      <protection hidden="1"/>
    </xf>
    <xf numFmtId="2" fontId="6" fillId="25" borderId="16" xfId="0" applyNumberFormat="1" applyFont="1" applyFill="1" applyBorder="1" applyAlignment="1" applyProtection="1">
      <alignment horizontal="center"/>
      <protection hidden="1"/>
    </xf>
    <xf numFmtId="174" fontId="3" fillId="0" borderId="31" xfId="0" applyNumberFormat="1" applyFont="1" applyFill="1" applyBorder="1" applyAlignment="1" applyProtection="1">
      <alignment horizontal="center"/>
      <protection hidden="1"/>
    </xf>
    <xf numFmtId="174" fontId="3" fillId="0" borderId="32" xfId="0" applyNumberFormat="1" applyFont="1" applyFill="1" applyBorder="1" applyAlignment="1" applyProtection="1">
      <alignment horizontal="center"/>
      <protection hidden="1"/>
    </xf>
    <xf numFmtId="174" fontId="3" fillId="0" borderId="33" xfId="0" applyNumberFormat="1" applyFont="1" applyFill="1" applyBorder="1" applyAlignment="1" applyProtection="1">
      <alignment horizontal="center"/>
      <protection hidden="1"/>
    </xf>
    <xf numFmtId="0" fontId="40" fillId="24" borderId="0" xfId="0" applyFont="1" applyFill="1" applyBorder="1" applyAlignment="1" applyProtection="1">
      <alignment horizontal="center"/>
      <protection hidden="1"/>
    </xf>
    <xf numFmtId="0" fontId="0" fillId="24" borderId="17" xfId="0" applyFill="1" applyBorder="1" applyAlignment="1" applyProtection="1">
      <alignment/>
      <protection hidden="1"/>
    </xf>
    <xf numFmtId="0" fontId="0" fillId="24" borderId="10" xfId="0" applyFill="1" applyBorder="1" applyAlignment="1" applyProtection="1">
      <alignment/>
      <protection hidden="1"/>
    </xf>
    <xf numFmtId="0" fontId="0" fillId="24" borderId="23" xfId="0" applyFill="1" applyBorder="1" applyAlignment="1" applyProtection="1">
      <alignment/>
      <protection hidden="1"/>
    </xf>
    <xf numFmtId="1" fontId="3" fillId="22" borderId="14" xfId="0" applyNumberFormat="1" applyFont="1" applyFill="1" applyBorder="1" applyAlignment="1" applyProtection="1">
      <alignment horizontal="center"/>
      <protection locked="0"/>
    </xf>
    <xf numFmtId="172" fontId="3" fillId="22" borderId="15" xfId="0" applyNumberFormat="1" applyFont="1" applyFill="1" applyBorder="1" applyAlignment="1" applyProtection="1">
      <alignment horizontal="center"/>
      <protection locked="0"/>
    </xf>
    <xf numFmtId="172" fontId="3" fillId="24" borderId="15" xfId="0" applyNumberFormat="1" applyFont="1" applyFill="1" applyBorder="1" applyAlignment="1" applyProtection="1">
      <alignment horizontal="center"/>
      <protection hidden="1"/>
    </xf>
    <xf numFmtId="2" fontId="3" fillId="22" borderId="16" xfId="0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 horizontal="left"/>
      <protection hidden="1"/>
    </xf>
    <xf numFmtId="0" fontId="5" fillId="24" borderId="8" xfId="0" applyFont="1" applyFill="1" applyBorder="1" applyAlignment="1" applyProtection="1">
      <alignment horizontal="left"/>
      <protection hidden="1"/>
    </xf>
    <xf numFmtId="2" fontId="6" fillId="24" borderId="0" xfId="0" applyNumberFormat="1" applyFont="1" applyFill="1" applyBorder="1" applyAlignment="1" applyProtection="1">
      <alignment horizontal="left"/>
      <protection hidden="1"/>
    </xf>
    <xf numFmtId="2" fontId="3" fillId="24" borderId="11" xfId="0" applyNumberFormat="1" applyFont="1" applyFill="1" applyBorder="1" applyAlignment="1" applyProtection="1">
      <alignment horizontal="center"/>
      <protection hidden="1"/>
    </xf>
    <xf numFmtId="0" fontId="3" fillId="24" borderId="16" xfId="0" applyNumberFormat="1" applyFont="1" applyFill="1" applyBorder="1" applyAlignment="1" applyProtection="1">
      <alignment horizontal="center"/>
      <protection hidden="1"/>
    </xf>
    <xf numFmtId="0" fontId="3" fillId="24" borderId="14" xfId="0" applyNumberFormat="1" applyFont="1" applyFill="1" applyBorder="1" applyAlignment="1" applyProtection="1">
      <alignment horizontal="center"/>
      <protection hidden="1"/>
    </xf>
    <xf numFmtId="0" fontId="5" fillId="24" borderId="23" xfId="0" applyFont="1" applyFill="1" applyBorder="1" applyAlignment="1" applyProtection="1">
      <alignment horizontal="right"/>
      <protection hidden="1"/>
    </xf>
    <xf numFmtId="0" fontId="6" fillId="24" borderId="10" xfId="0" applyFont="1" applyFill="1" applyBorder="1" applyAlignment="1" applyProtection="1">
      <alignment horizontal="right"/>
      <protection hidden="1"/>
    </xf>
    <xf numFmtId="0" fontId="16" fillId="0" borderId="11" xfId="0" applyFont="1" applyBorder="1" applyAlignment="1" applyProtection="1">
      <alignment horizontal="center"/>
      <protection hidden="1"/>
    </xf>
    <xf numFmtId="0" fontId="4" fillId="24" borderId="0" xfId="0" applyFont="1" applyFill="1" applyAlignment="1" applyProtection="1">
      <alignment/>
      <protection hidden="1"/>
    </xf>
    <xf numFmtId="2" fontId="4" fillId="24" borderId="0" xfId="0" applyNumberFormat="1" applyFont="1" applyFill="1" applyAlignment="1" applyProtection="1">
      <alignment horizontal="center"/>
      <protection hidden="1"/>
    </xf>
    <xf numFmtId="0" fontId="50" fillId="24" borderId="0" xfId="0" applyFont="1" applyFill="1" applyAlignment="1" applyProtection="1">
      <alignment/>
      <protection hidden="1"/>
    </xf>
    <xf numFmtId="2" fontId="4" fillId="24" borderId="0" xfId="0" applyNumberFormat="1" applyFont="1" applyFill="1" applyAlignment="1" applyProtection="1">
      <alignment/>
      <protection hidden="1"/>
    </xf>
    <xf numFmtId="0" fontId="1" fillId="24" borderId="0" xfId="0" applyFont="1" applyFill="1" applyAlignment="1" applyProtection="1">
      <alignment horizontal="left"/>
      <protection hidden="1"/>
    </xf>
    <xf numFmtId="0" fontId="3" fillId="24" borderId="0" xfId="0" applyFont="1" applyFill="1" applyAlignment="1" applyProtection="1">
      <alignment horizontal="left" indent="4"/>
      <protection hidden="1"/>
    </xf>
    <xf numFmtId="0" fontId="6" fillId="24" borderId="0" xfId="0" applyFont="1" applyFill="1" applyBorder="1" applyAlignment="1" applyProtection="1">
      <alignment horizontal="left" indent="4"/>
      <protection hidden="1"/>
    </xf>
    <xf numFmtId="2" fontId="3" fillId="20" borderId="14" xfId="0" applyNumberFormat="1" applyFont="1" applyFill="1" applyBorder="1" applyAlignment="1" applyProtection="1">
      <alignment horizontal="center"/>
      <protection hidden="1"/>
    </xf>
    <xf numFmtId="0" fontId="0" fillId="24" borderId="21" xfId="0" applyFill="1" applyBorder="1" applyAlignment="1" applyProtection="1">
      <alignment/>
      <protection hidden="1"/>
    </xf>
    <xf numFmtId="0" fontId="0" fillId="24" borderId="13" xfId="0" applyFill="1" applyBorder="1" applyAlignment="1" applyProtection="1">
      <alignment/>
      <protection hidden="1"/>
    </xf>
    <xf numFmtId="0" fontId="0" fillId="24" borderId="12" xfId="0" applyFill="1" applyBorder="1" applyAlignment="1" applyProtection="1">
      <alignment/>
      <protection hidden="1"/>
    </xf>
    <xf numFmtId="0" fontId="32" fillId="24" borderId="0" xfId="0" applyFont="1" applyFill="1" applyBorder="1" applyAlignment="1" applyProtection="1">
      <alignment horizontal="left"/>
      <protection hidden="1"/>
    </xf>
    <xf numFmtId="0" fontId="29" fillId="24" borderId="0" xfId="0" applyFont="1" applyFill="1" applyBorder="1" applyAlignment="1" applyProtection="1">
      <alignment/>
      <protection hidden="1"/>
    </xf>
    <xf numFmtId="49" fontId="3" fillId="24" borderId="0" xfId="0" applyNumberFormat="1" applyFont="1" applyFill="1" applyBorder="1" applyAlignment="1" applyProtection="1">
      <alignment/>
      <protection hidden="1"/>
    </xf>
    <xf numFmtId="0" fontId="16" fillId="24" borderId="13" xfId="0" applyNumberFormat="1" applyFont="1" applyFill="1" applyBorder="1" applyAlignment="1" applyProtection="1">
      <alignment horizontal="center"/>
      <protection hidden="1"/>
    </xf>
    <xf numFmtId="0" fontId="16" fillId="24" borderId="0" xfId="0" applyNumberFormat="1" applyFont="1" applyFill="1" applyBorder="1" applyAlignment="1" applyProtection="1">
      <alignment horizontal="center"/>
      <protection hidden="1"/>
    </xf>
    <xf numFmtId="0" fontId="1" fillId="24" borderId="0" xfId="0" applyFont="1" applyFill="1" applyAlignment="1" applyProtection="1">
      <alignment/>
      <protection hidden="1"/>
    </xf>
    <xf numFmtId="0" fontId="5" fillId="24" borderId="0" xfId="0" applyFont="1" applyFill="1" applyBorder="1" applyAlignment="1" applyProtection="1">
      <alignment horizontal="right"/>
      <protection hidden="1"/>
    </xf>
    <xf numFmtId="0" fontId="0" fillId="24" borderId="0" xfId="0" applyFont="1" applyFill="1" applyBorder="1" applyAlignment="1" applyProtection="1">
      <alignment horizontal="left"/>
      <protection hidden="1"/>
    </xf>
    <xf numFmtId="0" fontId="0" fillId="25" borderId="13" xfId="0" applyFill="1" applyBorder="1" applyAlignment="1" applyProtection="1">
      <alignment/>
      <protection hidden="1"/>
    </xf>
    <xf numFmtId="0" fontId="0" fillId="25" borderId="0" xfId="0" applyFill="1" applyBorder="1" applyAlignment="1" applyProtection="1">
      <alignment/>
      <protection hidden="1"/>
    </xf>
    <xf numFmtId="0" fontId="17" fillId="24" borderId="0" xfId="0" applyFont="1" applyFill="1" applyBorder="1" applyAlignment="1" applyProtection="1">
      <alignment horizontal="center"/>
      <protection hidden="1"/>
    </xf>
    <xf numFmtId="49" fontId="3" fillId="24" borderId="20" xfId="0" applyNumberFormat="1" applyFont="1" applyFill="1" applyBorder="1" applyAlignment="1" applyProtection="1">
      <alignment/>
      <protection hidden="1"/>
    </xf>
    <xf numFmtId="0" fontId="16" fillId="24" borderId="11" xfId="0" applyFont="1" applyFill="1" applyBorder="1" applyAlignment="1" applyProtection="1">
      <alignment horizontal="center"/>
      <protection hidden="1"/>
    </xf>
    <xf numFmtId="0" fontId="16" fillId="24" borderId="11" xfId="0" applyNumberFormat="1" applyFont="1" applyFill="1" applyBorder="1" applyAlignment="1" applyProtection="1">
      <alignment horizontal="center"/>
      <protection hidden="1"/>
    </xf>
    <xf numFmtId="49" fontId="3" fillId="24" borderId="10" xfId="0" applyNumberFormat="1" applyFont="1" applyFill="1" applyBorder="1" applyAlignment="1" applyProtection="1">
      <alignment/>
      <protection hidden="1"/>
    </xf>
    <xf numFmtId="0" fontId="16" fillId="24" borderId="34" xfId="0" applyFont="1" applyFill="1" applyBorder="1" applyAlignment="1" applyProtection="1">
      <alignment horizontal="center"/>
      <protection hidden="1"/>
    </xf>
    <xf numFmtId="0" fontId="16" fillId="24" borderId="35" xfId="0" applyNumberFormat="1" applyFont="1" applyFill="1" applyBorder="1" applyAlignment="1" applyProtection="1">
      <alignment horizontal="center"/>
      <protection hidden="1"/>
    </xf>
    <xf numFmtId="0" fontId="16" fillId="0" borderId="36" xfId="0" applyNumberFormat="1" applyFont="1" applyBorder="1" applyAlignment="1" applyProtection="1">
      <alignment horizontal="center"/>
      <protection hidden="1"/>
    </xf>
    <xf numFmtId="14" fontId="3" fillId="24" borderId="0" xfId="0" applyNumberFormat="1" applyFont="1" applyFill="1" applyBorder="1" applyAlignment="1" applyProtection="1">
      <alignment/>
      <protection hidden="1"/>
    </xf>
    <xf numFmtId="0" fontId="16" fillId="24" borderId="15" xfId="0" applyNumberFormat="1" applyFont="1" applyFill="1" applyBorder="1" applyAlignment="1" applyProtection="1">
      <alignment horizontal="center"/>
      <protection hidden="1"/>
    </xf>
    <xf numFmtId="172" fontId="16" fillId="24" borderId="27" xfId="0" applyNumberFormat="1" applyFont="1" applyFill="1" applyBorder="1" applyAlignment="1" applyProtection="1">
      <alignment horizontal="center"/>
      <protection hidden="1"/>
    </xf>
    <xf numFmtId="2" fontId="16" fillId="24" borderId="27" xfId="0" applyNumberFormat="1" applyFont="1" applyFill="1" applyBorder="1" applyAlignment="1" applyProtection="1">
      <alignment horizontal="center"/>
      <protection hidden="1"/>
    </xf>
    <xf numFmtId="0" fontId="16" fillId="24" borderId="27" xfId="0" applyNumberFormat="1" applyFont="1" applyFill="1" applyBorder="1" applyAlignment="1" applyProtection="1">
      <alignment horizontal="center"/>
      <protection hidden="1"/>
    </xf>
    <xf numFmtId="18" fontId="3" fillId="24" borderId="0" xfId="0" applyNumberFormat="1" applyFont="1" applyFill="1" applyBorder="1" applyAlignment="1" applyProtection="1">
      <alignment/>
      <protection hidden="1"/>
    </xf>
    <xf numFmtId="0" fontId="16" fillId="24" borderId="14" xfId="0" applyNumberFormat="1" applyFont="1" applyFill="1" applyBorder="1" applyAlignment="1" applyProtection="1">
      <alignment horizontal="center"/>
      <protection hidden="1"/>
    </xf>
    <xf numFmtId="172" fontId="16" fillId="24" borderId="5" xfId="0" applyNumberFormat="1" applyFont="1" applyFill="1" applyBorder="1" applyAlignment="1" applyProtection="1">
      <alignment horizontal="center"/>
      <protection hidden="1"/>
    </xf>
    <xf numFmtId="174" fontId="16" fillId="24" borderId="5" xfId="0" applyNumberFormat="1" applyFont="1" applyFill="1" applyBorder="1" applyAlignment="1" applyProtection="1">
      <alignment horizontal="center"/>
      <protection hidden="1"/>
    </xf>
    <xf numFmtId="2" fontId="16" fillId="24" borderId="5" xfId="0" applyNumberFormat="1" applyFont="1" applyFill="1" applyBorder="1" applyAlignment="1" applyProtection="1">
      <alignment horizontal="center"/>
      <protection hidden="1"/>
    </xf>
    <xf numFmtId="0" fontId="16" fillId="24" borderId="5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48" fillId="24" borderId="0" xfId="0" applyFont="1" applyFill="1" applyBorder="1" applyAlignment="1" applyProtection="1">
      <alignment horizontal="right"/>
      <protection hidden="1"/>
    </xf>
    <xf numFmtId="0" fontId="6" fillId="24" borderId="9" xfId="0" applyFont="1" applyFill="1" applyBorder="1" applyAlignment="1" applyProtection="1">
      <alignment/>
      <protection hidden="1"/>
    </xf>
    <xf numFmtId="1" fontId="3" fillId="24" borderId="0" xfId="0" applyNumberFormat="1" applyFont="1" applyFill="1" applyBorder="1" applyAlignment="1" applyProtection="1">
      <alignment horizontal="center"/>
      <protection hidden="1"/>
    </xf>
    <xf numFmtId="224" fontId="20" fillId="24" borderId="0" xfId="0" applyNumberFormat="1" applyFont="1" applyFill="1" applyBorder="1" applyAlignment="1" applyProtection="1">
      <alignment horizontal="left"/>
      <protection hidden="1"/>
    </xf>
    <xf numFmtId="0" fontId="20" fillId="24" borderId="0" xfId="0" applyFont="1" applyFill="1" applyBorder="1" applyAlignment="1" applyProtection="1">
      <alignment/>
      <protection hidden="1"/>
    </xf>
    <xf numFmtId="225" fontId="49" fillId="24" borderId="0" xfId="0" applyNumberFormat="1" applyFont="1" applyFill="1" applyBorder="1" applyAlignment="1" applyProtection="1">
      <alignment horizontal="left"/>
      <protection hidden="1"/>
    </xf>
    <xf numFmtId="0" fontId="30" fillId="24" borderId="0" xfId="0" applyFont="1" applyFill="1" applyBorder="1" applyAlignment="1" applyProtection="1">
      <alignment/>
      <protection hidden="1"/>
    </xf>
    <xf numFmtId="224" fontId="20" fillId="24" borderId="0" xfId="0" applyNumberFormat="1" applyFont="1" applyFill="1" applyBorder="1" applyAlignment="1" applyProtection="1">
      <alignment/>
      <protection hidden="1"/>
    </xf>
    <xf numFmtId="1" fontId="16" fillId="24" borderId="5" xfId="0" applyNumberFormat="1" applyFont="1" applyFill="1" applyBorder="1" applyAlignment="1" applyProtection="1">
      <alignment horizontal="center"/>
      <protection hidden="1"/>
    </xf>
    <xf numFmtId="0" fontId="19" fillId="24" borderId="0" xfId="0" applyFont="1" applyFill="1" applyBorder="1" applyAlignment="1" applyProtection="1">
      <alignment horizontal="centerContinuous"/>
      <protection hidden="1"/>
    </xf>
    <xf numFmtId="0" fontId="3" fillId="24" borderId="0" xfId="0" applyFont="1" applyFill="1" applyBorder="1" applyAlignment="1" applyProtection="1">
      <alignment horizontal="centerContinuous"/>
      <protection hidden="1"/>
    </xf>
    <xf numFmtId="1" fontId="16" fillId="24" borderId="0" xfId="0" applyNumberFormat="1" applyFont="1" applyFill="1" applyBorder="1" applyAlignment="1" applyProtection="1">
      <alignment horizontal="center"/>
      <protection hidden="1"/>
    </xf>
    <xf numFmtId="0" fontId="4" fillId="24" borderId="0" xfId="0" applyFont="1" applyFill="1" applyBorder="1" applyAlignment="1" applyProtection="1">
      <alignment horizontal="right"/>
      <protection hidden="1"/>
    </xf>
    <xf numFmtId="2" fontId="19" fillId="24" borderId="0" xfId="0" applyNumberFormat="1" applyFont="1" applyFill="1" applyBorder="1" applyAlignment="1" applyProtection="1">
      <alignment/>
      <protection hidden="1"/>
    </xf>
    <xf numFmtId="0" fontId="3" fillId="24" borderId="21" xfId="0" applyFont="1" applyFill="1" applyBorder="1" applyAlignment="1" applyProtection="1">
      <alignment horizontal="centerContinuous"/>
      <protection hidden="1"/>
    </xf>
    <xf numFmtId="49" fontId="3" fillId="24" borderId="17" xfId="0" applyNumberFormat="1" applyFont="1" applyFill="1" applyBorder="1" applyAlignment="1" applyProtection="1">
      <alignment/>
      <protection hidden="1"/>
    </xf>
    <xf numFmtId="49" fontId="3" fillId="24" borderId="17" xfId="0" applyNumberFormat="1" applyFont="1" applyFill="1" applyBorder="1" applyAlignment="1" applyProtection="1">
      <alignment/>
      <protection hidden="1"/>
    </xf>
    <xf numFmtId="49" fontId="16" fillId="24" borderId="10" xfId="0" applyNumberFormat="1" applyFont="1" applyFill="1" applyBorder="1" applyAlignment="1" applyProtection="1">
      <alignment/>
      <protection hidden="1"/>
    </xf>
    <xf numFmtId="49" fontId="16" fillId="24" borderId="23" xfId="0" applyNumberFormat="1" applyFont="1" applyFill="1" applyBorder="1" applyAlignment="1" applyProtection="1">
      <alignment/>
      <protection hidden="1"/>
    </xf>
    <xf numFmtId="174" fontId="35" fillId="24" borderId="0" xfId="0" applyNumberFormat="1" applyFont="1" applyFill="1" applyBorder="1" applyAlignment="1" applyProtection="1">
      <alignment horizontal="center"/>
      <protection hidden="1"/>
    </xf>
    <xf numFmtId="174" fontId="35" fillId="24" borderId="8" xfId="0" applyNumberFormat="1" applyFont="1" applyFill="1" applyBorder="1" applyAlignment="1" applyProtection="1">
      <alignment horizontal="center"/>
      <protection hidden="1"/>
    </xf>
    <xf numFmtId="49" fontId="3" fillId="24" borderId="19" xfId="0" applyNumberFormat="1" applyFont="1" applyFill="1" applyBorder="1" applyAlignment="1" applyProtection="1">
      <alignment/>
      <protection hidden="1"/>
    </xf>
    <xf numFmtId="49" fontId="3" fillId="24" borderId="22" xfId="0" applyNumberFormat="1" applyFont="1" applyFill="1" applyBorder="1" applyAlignment="1" applyProtection="1">
      <alignment/>
      <protection hidden="1"/>
    </xf>
    <xf numFmtId="49" fontId="3" fillId="24" borderId="11" xfId="0" applyNumberFormat="1" applyFont="1" applyFill="1" applyBorder="1" applyAlignment="1" applyProtection="1">
      <alignment horizontal="left"/>
      <protection hidden="1"/>
    </xf>
    <xf numFmtId="49" fontId="3" fillId="24" borderId="11" xfId="0" applyNumberFormat="1" applyFont="1" applyFill="1" applyBorder="1" applyAlignment="1" applyProtection="1">
      <alignment/>
      <protection hidden="1"/>
    </xf>
    <xf numFmtId="0" fontId="36" fillId="24" borderId="17" xfId="0" applyFont="1" applyFill="1" applyBorder="1" applyAlignment="1" applyProtection="1">
      <alignment horizontal="center"/>
      <protection hidden="1"/>
    </xf>
    <xf numFmtId="0" fontId="5" fillId="24" borderId="10" xfId="0" applyFont="1" applyFill="1" applyBorder="1" applyAlignment="1" applyProtection="1">
      <alignment horizontal="center"/>
      <protection hidden="1"/>
    </xf>
    <xf numFmtId="174" fontId="37" fillId="24" borderId="10" xfId="0" applyNumberFormat="1" applyFont="1" applyFill="1" applyBorder="1" applyAlignment="1" applyProtection="1">
      <alignment horizontal="center"/>
      <protection hidden="1"/>
    </xf>
    <xf numFmtId="0" fontId="5" fillId="24" borderId="23" xfId="0" applyFont="1" applyFill="1" applyBorder="1" applyAlignment="1" applyProtection="1">
      <alignment horizontal="center"/>
      <protection hidden="1"/>
    </xf>
    <xf numFmtId="0" fontId="36" fillId="24" borderId="0" xfId="0" applyFont="1" applyFill="1" applyBorder="1" applyAlignment="1" applyProtection="1">
      <alignment horizontal="left"/>
      <protection hidden="1"/>
    </xf>
    <xf numFmtId="0" fontId="36" fillId="24" borderId="0" xfId="0" applyFont="1" applyFill="1" applyBorder="1" applyAlignment="1" applyProtection="1">
      <alignment horizontal="center"/>
      <protection hidden="1"/>
    </xf>
    <xf numFmtId="0" fontId="16" fillId="24" borderId="16" xfId="0" applyNumberFormat="1" applyFont="1" applyFill="1" applyBorder="1" applyAlignment="1" applyProtection="1">
      <alignment horizontal="center"/>
      <protection hidden="1"/>
    </xf>
    <xf numFmtId="2" fontId="16" fillId="24" borderId="32" xfId="0" applyNumberFormat="1" applyFont="1" applyFill="1" applyBorder="1" applyAlignment="1" applyProtection="1">
      <alignment horizontal="center"/>
      <protection hidden="1"/>
    </xf>
    <xf numFmtId="174" fontId="16" fillId="24" borderId="32" xfId="0" applyNumberFormat="1" applyFont="1" applyFill="1" applyBorder="1" applyAlignment="1" applyProtection="1">
      <alignment horizontal="center"/>
      <protection hidden="1"/>
    </xf>
    <xf numFmtId="0" fontId="16" fillId="24" borderId="34" xfId="0" applyNumberFormat="1" applyFont="1" applyFill="1" applyBorder="1" applyAlignment="1" applyProtection="1">
      <alignment horizontal="center"/>
      <protection hidden="1"/>
    </xf>
    <xf numFmtId="172" fontId="16" fillId="24" borderId="24" xfId="0" applyNumberFormat="1" applyFont="1" applyFill="1" applyBorder="1" applyAlignment="1" applyProtection="1">
      <alignment horizontal="center"/>
      <protection hidden="1"/>
    </xf>
    <xf numFmtId="174" fontId="16" fillId="24" borderId="24" xfId="0" applyNumberFormat="1" applyFont="1" applyFill="1" applyBorder="1" applyAlignment="1" applyProtection="1">
      <alignment horizontal="center"/>
      <protection hidden="1"/>
    </xf>
    <xf numFmtId="2" fontId="16" fillId="24" borderId="24" xfId="0" applyNumberFormat="1" applyFont="1" applyFill="1" applyBorder="1" applyAlignment="1" applyProtection="1">
      <alignment horizontal="center"/>
      <protection hidden="1"/>
    </xf>
    <xf numFmtId="173" fontId="16" fillId="24" borderId="5" xfId="0" applyNumberFormat="1" applyFont="1" applyFill="1" applyBorder="1" applyAlignment="1" applyProtection="1">
      <alignment horizontal="center"/>
      <protection hidden="1"/>
    </xf>
    <xf numFmtId="173" fontId="16" fillId="24" borderId="32" xfId="0" applyNumberFormat="1" applyFont="1" applyFill="1" applyBorder="1" applyAlignment="1" applyProtection="1">
      <alignment horizontal="center"/>
      <protection hidden="1"/>
    </xf>
    <xf numFmtId="0" fontId="16" fillId="24" borderId="24" xfId="0" applyNumberFormat="1" applyFont="1" applyFill="1" applyBorder="1" applyAlignment="1" applyProtection="1">
      <alignment horizontal="center"/>
      <protection hidden="1"/>
    </xf>
    <xf numFmtId="172" fontId="16" fillId="24" borderId="32" xfId="0" applyNumberFormat="1" applyFont="1" applyFill="1" applyBorder="1" applyAlignment="1" applyProtection="1">
      <alignment horizontal="center"/>
      <protection hidden="1"/>
    </xf>
    <xf numFmtId="174" fontId="16" fillId="24" borderId="27" xfId="0" applyNumberFormat="1" applyFont="1" applyFill="1" applyBorder="1" applyAlignment="1" applyProtection="1">
      <alignment horizontal="center"/>
      <protection hidden="1"/>
    </xf>
    <xf numFmtId="0" fontId="16" fillId="24" borderId="32" xfId="0" applyNumberFormat="1" applyFont="1" applyFill="1" applyBorder="1" applyAlignment="1" applyProtection="1">
      <alignment horizontal="center"/>
      <protection hidden="1"/>
    </xf>
    <xf numFmtId="0" fontId="3" fillId="22" borderId="18" xfId="0" applyFont="1" applyFill="1" applyBorder="1" applyAlignment="1" applyProtection="1">
      <alignment horizontal="center"/>
      <protection locked="0"/>
    </xf>
    <xf numFmtId="0" fontId="0" fillId="24" borderId="20" xfId="0" applyFill="1" applyBorder="1" applyAlignment="1" applyProtection="1">
      <alignment/>
      <protection locked="0"/>
    </xf>
    <xf numFmtId="0" fontId="0" fillId="24" borderId="19" xfId="0" applyFill="1" applyBorder="1" applyAlignment="1" applyProtection="1">
      <alignment/>
      <protection locked="0"/>
    </xf>
    <xf numFmtId="0" fontId="30" fillId="24" borderId="9" xfId="0" applyFont="1" applyFill="1" applyBorder="1" applyAlignment="1" applyProtection="1">
      <alignment/>
      <protection locked="0"/>
    </xf>
    <xf numFmtId="0" fontId="0" fillId="24" borderId="9" xfId="0" applyFill="1" applyBorder="1" applyAlignment="1" applyProtection="1">
      <alignment/>
      <protection locked="0"/>
    </xf>
    <xf numFmtId="0" fontId="0" fillId="24" borderId="17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8" xfId="0" applyFill="1" applyBorder="1" applyAlignment="1" applyProtection="1">
      <alignment/>
      <protection locked="0"/>
    </xf>
    <xf numFmtId="0" fontId="0" fillId="24" borderId="23" xfId="0" applyFill="1" applyBorder="1" applyAlignment="1" applyProtection="1">
      <alignment/>
      <protection locked="0"/>
    </xf>
    <xf numFmtId="0" fontId="6" fillId="25" borderId="21" xfId="0" applyFont="1" applyFill="1" applyBorder="1" applyAlignment="1" applyProtection="1">
      <alignment horizontal="centerContinuous"/>
      <protection hidden="1"/>
    </xf>
    <xf numFmtId="0" fontId="7" fillId="25" borderId="8" xfId="0" applyFont="1" applyFill="1" applyBorder="1" applyAlignment="1" applyProtection="1">
      <alignment horizontal="centerContinuous"/>
      <protection hidden="1"/>
    </xf>
    <xf numFmtId="0" fontId="7" fillId="25" borderId="23" xfId="0" applyFont="1" applyFill="1" applyBorder="1" applyAlignment="1" applyProtection="1">
      <alignment horizontal="centerContinuous"/>
      <protection hidden="1"/>
    </xf>
    <xf numFmtId="49" fontId="3" fillId="24" borderId="22" xfId="0" applyNumberFormat="1" applyFont="1" applyFill="1" applyBorder="1" applyAlignment="1" applyProtection="1">
      <alignment/>
      <protection locked="0"/>
    </xf>
    <xf numFmtId="13" fontId="3" fillId="24" borderId="14" xfId="0" applyNumberFormat="1" applyFont="1" applyFill="1" applyBorder="1" applyAlignment="1" applyProtection="1">
      <alignment horizontal="center"/>
      <protection hidden="1"/>
    </xf>
    <xf numFmtId="0" fontId="3" fillId="24" borderId="16" xfId="0" applyFont="1" applyFill="1" applyBorder="1" applyAlignment="1" applyProtection="1">
      <alignment horizontal="center"/>
      <protection hidden="1"/>
    </xf>
    <xf numFmtId="0" fontId="3" fillId="24" borderId="9" xfId="0" applyFont="1" applyFill="1" applyBorder="1" applyAlignment="1" applyProtection="1">
      <alignment horizontal="center"/>
      <protection hidden="1"/>
    </xf>
    <xf numFmtId="174" fontId="16" fillId="22" borderId="19" xfId="0" applyNumberFormat="1" applyFont="1" applyFill="1" applyBorder="1" applyAlignment="1" applyProtection="1">
      <alignment horizontal="center"/>
      <protection locked="0"/>
    </xf>
    <xf numFmtId="174" fontId="16" fillId="22" borderId="22" xfId="0" applyNumberFormat="1" applyFont="1" applyFill="1" applyBorder="1" applyAlignment="1" applyProtection="1">
      <alignment horizontal="center"/>
      <protection locked="0"/>
    </xf>
    <xf numFmtId="174" fontId="3" fillId="22" borderId="19" xfId="0" applyNumberFormat="1" applyFont="1" applyFill="1" applyBorder="1" applyAlignment="1" applyProtection="1">
      <alignment horizontal="center"/>
      <protection locked="0"/>
    </xf>
    <xf numFmtId="174" fontId="3" fillId="22" borderId="22" xfId="0" applyNumberFormat="1" applyFont="1" applyFill="1" applyBorder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">
    <dxf>
      <font>
        <color indexed="9"/>
      </font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indexed="10"/>
      </font>
    </dxf>
    <dxf>
      <font>
        <b/>
        <i val="0"/>
        <color indexed="10"/>
      </font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5</xdr:row>
      <xdr:rowOff>104775</xdr:rowOff>
    </xdr:from>
    <xdr:to>
      <xdr:col>9</xdr:col>
      <xdr:colOff>466725</xdr:colOff>
      <xdr:row>19</xdr:row>
      <xdr:rowOff>133350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5181600" y="971550"/>
          <a:ext cx="10668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209550</xdr:colOff>
      <xdr:row>20</xdr:row>
      <xdr:rowOff>95250</xdr:rowOff>
    </xdr:from>
    <xdr:to>
      <xdr:col>16</xdr:col>
      <xdr:colOff>209550</xdr:colOff>
      <xdr:row>20</xdr:row>
      <xdr:rowOff>95250</xdr:rowOff>
    </xdr:to>
    <xdr:sp>
      <xdr:nvSpPr>
        <xdr:cNvPr id="2" name="Line 122"/>
        <xdr:cNvSpPr>
          <a:spLocks/>
        </xdr:cNvSpPr>
      </xdr:nvSpPr>
      <xdr:spPr>
        <a:xfrm>
          <a:off x="63912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304800</xdr:colOff>
      <xdr:row>140</xdr:row>
      <xdr:rowOff>133350</xdr:rowOff>
    </xdr:from>
    <xdr:to>
      <xdr:col>48</xdr:col>
      <xdr:colOff>361950</xdr:colOff>
      <xdr:row>146</xdr:row>
      <xdr:rowOff>95250</xdr:rowOff>
    </xdr:to>
    <xdr:sp>
      <xdr:nvSpPr>
        <xdr:cNvPr id="3" name="Rectangle 1"/>
        <xdr:cNvSpPr>
          <a:spLocks/>
        </xdr:cNvSpPr>
      </xdr:nvSpPr>
      <xdr:spPr>
        <a:xfrm>
          <a:off x="6391275" y="23031450"/>
          <a:ext cx="0" cy="933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504825</xdr:colOff>
      <xdr:row>146</xdr:row>
      <xdr:rowOff>95250</xdr:rowOff>
    </xdr:from>
    <xdr:to>
      <xdr:col>48</xdr:col>
      <xdr:colOff>257175</xdr:colOff>
      <xdr:row>146</xdr:row>
      <xdr:rowOff>95250</xdr:rowOff>
    </xdr:to>
    <xdr:sp>
      <xdr:nvSpPr>
        <xdr:cNvPr id="4" name="Line 2"/>
        <xdr:cNvSpPr>
          <a:spLocks/>
        </xdr:cNvSpPr>
      </xdr:nvSpPr>
      <xdr:spPr>
        <a:xfrm flipH="1">
          <a:off x="63912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504825</xdr:colOff>
      <xdr:row>140</xdr:row>
      <xdr:rowOff>142875</xdr:rowOff>
    </xdr:from>
    <xdr:to>
      <xdr:col>48</xdr:col>
      <xdr:colOff>257175</xdr:colOff>
      <xdr:row>140</xdr:row>
      <xdr:rowOff>142875</xdr:rowOff>
    </xdr:to>
    <xdr:sp>
      <xdr:nvSpPr>
        <xdr:cNvPr id="5" name="Line 3"/>
        <xdr:cNvSpPr>
          <a:spLocks/>
        </xdr:cNvSpPr>
      </xdr:nvSpPr>
      <xdr:spPr>
        <a:xfrm flipH="1">
          <a:off x="6391275" y="2304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571500</xdr:colOff>
      <xdr:row>139</xdr:row>
      <xdr:rowOff>76200</xdr:rowOff>
    </xdr:from>
    <xdr:to>
      <xdr:col>48</xdr:col>
      <xdr:colOff>571500</xdr:colOff>
      <xdr:row>148</xdr:row>
      <xdr:rowOff>85725</xdr:rowOff>
    </xdr:to>
    <xdr:sp>
      <xdr:nvSpPr>
        <xdr:cNvPr id="6" name="Line 4"/>
        <xdr:cNvSpPr>
          <a:spLocks/>
        </xdr:cNvSpPr>
      </xdr:nvSpPr>
      <xdr:spPr>
        <a:xfrm>
          <a:off x="6391275" y="22812375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333375</xdr:colOff>
      <xdr:row>146</xdr:row>
      <xdr:rowOff>152400</xdr:rowOff>
    </xdr:from>
    <xdr:to>
      <xdr:col>48</xdr:col>
      <xdr:colOff>333375</xdr:colOff>
      <xdr:row>149</xdr:row>
      <xdr:rowOff>133350</xdr:rowOff>
    </xdr:to>
    <xdr:sp>
      <xdr:nvSpPr>
        <xdr:cNvPr id="7" name="Line 5"/>
        <xdr:cNvSpPr>
          <a:spLocks/>
        </xdr:cNvSpPr>
      </xdr:nvSpPr>
      <xdr:spPr>
        <a:xfrm>
          <a:off x="6391275" y="240220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190500</xdr:colOff>
      <xdr:row>146</xdr:row>
      <xdr:rowOff>152400</xdr:rowOff>
    </xdr:from>
    <xdr:to>
      <xdr:col>49</xdr:col>
      <xdr:colOff>190500</xdr:colOff>
      <xdr:row>149</xdr:row>
      <xdr:rowOff>142875</xdr:rowOff>
    </xdr:to>
    <xdr:sp>
      <xdr:nvSpPr>
        <xdr:cNvPr id="8" name="Line 6"/>
        <xdr:cNvSpPr>
          <a:spLocks/>
        </xdr:cNvSpPr>
      </xdr:nvSpPr>
      <xdr:spPr>
        <a:xfrm>
          <a:off x="6391275" y="240220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200025</xdr:colOff>
      <xdr:row>143</xdr:row>
      <xdr:rowOff>114300</xdr:rowOff>
    </xdr:from>
    <xdr:to>
      <xdr:col>49</xdr:col>
      <xdr:colOff>276225</xdr:colOff>
      <xdr:row>143</xdr:row>
      <xdr:rowOff>114300</xdr:rowOff>
    </xdr:to>
    <xdr:sp>
      <xdr:nvSpPr>
        <xdr:cNvPr id="9" name="Line 7"/>
        <xdr:cNvSpPr>
          <a:spLocks/>
        </xdr:cNvSpPr>
      </xdr:nvSpPr>
      <xdr:spPr>
        <a:xfrm>
          <a:off x="6391275" y="2349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161925</xdr:colOff>
      <xdr:row>140</xdr:row>
      <xdr:rowOff>133350</xdr:rowOff>
    </xdr:from>
    <xdr:to>
      <xdr:col>49</xdr:col>
      <xdr:colOff>219075</xdr:colOff>
      <xdr:row>146</xdr:row>
      <xdr:rowOff>95250</xdr:rowOff>
    </xdr:to>
    <xdr:sp>
      <xdr:nvSpPr>
        <xdr:cNvPr id="10" name="Rectangle 8"/>
        <xdr:cNvSpPr>
          <a:spLocks/>
        </xdr:cNvSpPr>
      </xdr:nvSpPr>
      <xdr:spPr>
        <a:xfrm>
          <a:off x="6391275" y="23031450"/>
          <a:ext cx="0" cy="933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154</xdr:row>
      <xdr:rowOff>28575</xdr:rowOff>
    </xdr:from>
    <xdr:to>
      <xdr:col>48</xdr:col>
      <xdr:colOff>295275</xdr:colOff>
      <xdr:row>159</xdr:row>
      <xdr:rowOff>142875</xdr:rowOff>
    </xdr:to>
    <xdr:sp>
      <xdr:nvSpPr>
        <xdr:cNvPr id="11" name="Rectangle 9"/>
        <xdr:cNvSpPr>
          <a:spLocks/>
        </xdr:cNvSpPr>
      </xdr:nvSpPr>
      <xdr:spPr>
        <a:xfrm>
          <a:off x="6391275" y="25193625"/>
          <a:ext cx="0" cy="923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485775</xdr:colOff>
      <xdr:row>153</xdr:row>
      <xdr:rowOff>104775</xdr:rowOff>
    </xdr:from>
    <xdr:to>
      <xdr:col>48</xdr:col>
      <xdr:colOff>533400</xdr:colOff>
      <xdr:row>159</xdr:row>
      <xdr:rowOff>57150</xdr:rowOff>
    </xdr:to>
    <xdr:sp>
      <xdr:nvSpPr>
        <xdr:cNvPr id="12" name="Rectangle 10"/>
        <xdr:cNvSpPr>
          <a:spLocks/>
        </xdr:cNvSpPr>
      </xdr:nvSpPr>
      <xdr:spPr>
        <a:xfrm>
          <a:off x="6391275" y="25107900"/>
          <a:ext cx="0" cy="923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390525</xdr:colOff>
      <xdr:row>153</xdr:row>
      <xdr:rowOff>133350</xdr:rowOff>
    </xdr:from>
    <xdr:to>
      <xdr:col>48</xdr:col>
      <xdr:colOff>390525</xdr:colOff>
      <xdr:row>160</xdr:row>
      <xdr:rowOff>142875</xdr:rowOff>
    </xdr:to>
    <xdr:sp>
      <xdr:nvSpPr>
        <xdr:cNvPr id="13" name="Line 11"/>
        <xdr:cNvSpPr>
          <a:spLocks/>
        </xdr:cNvSpPr>
      </xdr:nvSpPr>
      <xdr:spPr>
        <a:xfrm>
          <a:off x="6391275" y="251364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114300</xdr:colOff>
      <xdr:row>156</xdr:row>
      <xdr:rowOff>9525</xdr:rowOff>
    </xdr:from>
    <xdr:to>
      <xdr:col>49</xdr:col>
      <xdr:colOff>85725</xdr:colOff>
      <xdr:row>157</xdr:row>
      <xdr:rowOff>66675</xdr:rowOff>
    </xdr:to>
    <xdr:sp>
      <xdr:nvSpPr>
        <xdr:cNvPr id="14" name="Line 12"/>
        <xdr:cNvSpPr>
          <a:spLocks/>
        </xdr:cNvSpPr>
      </xdr:nvSpPr>
      <xdr:spPr>
        <a:xfrm flipV="1">
          <a:off x="6391275" y="254984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266700</xdr:colOff>
      <xdr:row>160</xdr:row>
      <xdr:rowOff>28575</xdr:rowOff>
    </xdr:from>
    <xdr:to>
      <xdr:col>48</xdr:col>
      <xdr:colOff>266700</xdr:colOff>
      <xdr:row>161</xdr:row>
      <xdr:rowOff>9525</xdr:rowOff>
    </xdr:to>
    <xdr:sp>
      <xdr:nvSpPr>
        <xdr:cNvPr id="15" name="Line 13"/>
        <xdr:cNvSpPr>
          <a:spLocks/>
        </xdr:cNvSpPr>
      </xdr:nvSpPr>
      <xdr:spPr>
        <a:xfrm>
          <a:off x="6391275" y="261651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504825</xdr:colOff>
      <xdr:row>159</xdr:row>
      <xdr:rowOff>104775</xdr:rowOff>
    </xdr:from>
    <xdr:to>
      <xdr:col>48</xdr:col>
      <xdr:colOff>504825</xdr:colOff>
      <xdr:row>160</xdr:row>
      <xdr:rowOff>85725</xdr:rowOff>
    </xdr:to>
    <xdr:sp>
      <xdr:nvSpPr>
        <xdr:cNvPr id="16" name="Line 14"/>
        <xdr:cNvSpPr>
          <a:spLocks/>
        </xdr:cNvSpPr>
      </xdr:nvSpPr>
      <xdr:spPr>
        <a:xfrm>
          <a:off x="6391275" y="26079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590550</xdr:colOff>
      <xdr:row>160</xdr:row>
      <xdr:rowOff>9525</xdr:rowOff>
    </xdr:from>
    <xdr:to>
      <xdr:col>48</xdr:col>
      <xdr:colOff>228600</xdr:colOff>
      <xdr:row>160</xdr:row>
      <xdr:rowOff>85725</xdr:rowOff>
    </xdr:to>
    <xdr:sp>
      <xdr:nvSpPr>
        <xdr:cNvPr id="17" name="Line 15"/>
        <xdr:cNvSpPr>
          <a:spLocks/>
        </xdr:cNvSpPr>
      </xdr:nvSpPr>
      <xdr:spPr>
        <a:xfrm flipV="1">
          <a:off x="6391275" y="261461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66675</xdr:colOff>
      <xdr:row>154</xdr:row>
      <xdr:rowOff>104775</xdr:rowOff>
    </xdr:from>
    <xdr:to>
      <xdr:col>48</xdr:col>
      <xdr:colOff>66675</xdr:colOff>
      <xdr:row>160</xdr:row>
      <xdr:rowOff>57150</xdr:rowOff>
    </xdr:to>
    <xdr:sp>
      <xdr:nvSpPr>
        <xdr:cNvPr id="18" name="Line 16"/>
        <xdr:cNvSpPr>
          <a:spLocks/>
        </xdr:cNvSpPr>
      </xdr:nvSpPr>
      <xdr:spPr>
        <a:xfrm>
          <a:off x="6391275" y="2526982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581025</xdr:colOff>
      <xdr:row>154</xdr:row>
      <xdr:rowOff>57150</xdr:rowOff>
    </xdr:from>
    <xdr:to>
      <xdr:col>48</xdr:col>
      <xdr:colOff>219075</xdr:colOff>
      <xdr:row>154</xdr:row>
      <xdr:rowOff>133350</xdr:rowOff>
    </xdr:to>
    <xdr:sp>
      <xdr:nvSpPr>
        <xdr:cNvPr id="19" name="Line 17"/>
        <xdr:cNvSpPr>
          <a:spLocks/>
        </xdr:cNvSpPr>
      </xdr:nvSpPr>
      <xdr:spPr>
        <a:xfrm flipV="1">
          <a:off x="6391275" y="252222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581025</xdr:colOff>
      <xdr:row>140</xdr:row>
      <xdr:rowOff>19050</xdr:rowOff>
    </xdr:from>
    <xdr:to>
      <xdr:col>49</xdr:col>
      <xdr:colOff>323850</xdr:colOff>
      <xdr:row>140</xdr:row>
      <xdr:rowOff>19050</xdr:rowOff>
    </xdr:to>
    <xdr:sp>
      <xdr:nvSpPr>
        <xdr:cNvPr id="20" name="Line 18"/>
        <xdr:cNvSpPr>
          <a:spLocks/>
        </xdr:cNvSpPr>
      </xdr:nvSpPr>
      <xdr:spPr>
        <a:xfrm>
          <a:off x="6391275" y="2291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38100</xdr:colOff>
      <xdr:row>140</xdr:row>
      <xdr:rowOff>142875</xdr:rowOff>
    </xdr:from>
    <xdr:to>
      <xdr:col>48</xdr:col>
      <xdr:colOff>38100</xdr:colOff>
      <xdr:row>146</xdr:row>
      <xdr:rowOff>104775</xdr:rowOff>
    </xdr:to>
    <xdr:sp>
      <xdr:nvSpPr>
        <xdr:cNvPr id="21" name="Line 19"/>
        <xdr:cNvSpPr>
          <a:spLocks/>
        </xdr:cNvSpPr>
      </xdr:nvSpPr>
      <xdr:spPr>
        <a:xfrm>
          <a:off x="6391275" y="230409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333375</xdr:colOff>
      <xdr:row>148</xdr:row>
      <xdr:rowOff>152400</xdr:rowOff>
    </xdr:from>
    <xdr:to>
      <xdr:col>49</xdr:col>
      <xdr:colOff>190500</xdr:colOff>
      <xdr:row>148</xdr:row>
      <xdr:rowOff>152400</xdr:rowOff>
    </xdr:to>
    <xdr:sp>
      <xdr:nvSpPr>
        <xdr:cNvPr id="22" name="Line 20"/>
        <xdr:cNvSpPr>
          <a:spLocks/>
        </xdr:cNvSpPr>
      </xdr:nvSpPr>
      <xdr:spPr>
        <a:xfrm>
          <a:off x="6391275" y="2434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419100</xdr:colOff>
      <xdr:row>148</xdr:row>
      <xdr:rowOff>152400</xdr:rowOff>
    </xdr:from>
    <xdr:to>
      <xdr:col>48</xdr:col>
      <xdr:colOff>333375</xdr:colOff>
      <xdr:row>148</xdr:row>
      <xdr:rowOff>152400</xdr:rowOff>
    </xdr:to>
    <xdr:sp>
      <xdr:nvSpPr>
        <xdr:cNvPr id="23" name="Line 21"/>
        <xdr:cNvSpPr>
          <a:spLocks/>
        </xdr:cNvSpPr>
      </xdr:nvSpPr>
      <xdr:spPr>
        <a:xfrm flipH="1">
          <a:off x="6391275" y="2434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333375</xdr:colOff>
      <xdr:row>148</xdr:row>
      <xdr:rowOff>0</xdr:rowOff>
    </xdr:from>
    <xdr:to>
      <xdr:col>48</xdr:col>
      <xdr:colOff>571500</xdr:colOff>
      <xdr:row>148</xdr:row>
      <xdr:rowOff>0</xdr:rowOff>
    </xdr:to>
    <xdr:sp>
      <xdr:nvSpPr>
        <xdr:cNvPr id="24" name="Line 22"/>
        <xdr:cNvSpPr>
          <a:spLocks/>
        </xdr:cNvSpPr>
      </xdr:nvSpPr>
      <xdr:spPr>
        <a:xfrm>
          <a:off x="6391275" y="2419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571500</xdr:colOff>
      <xdr:row>148</xdr:row>
      <xdr:rowOff>0</xdr:rowOff>
    </xdr:from>
    <xdr:to>
      <xdr:col>49</xdr:col>
      <xdr:colOff>200025</xdr:colOff>
      <xdr:row>148</xdr:row>
      <xdr:rowOff>0</xdr:rowOff>
    </xdr:to>
    <xdr:sp>
      <xdr:nvSpPr>
        <xdr:cNvPr id="25" name="Line 23"/>
        <xdr:cNvSpPr>
          <a:spLocks/>
        </xdr:cNvSpPr>
      </xdr:nvSpPr>
      <xdr:spPr>
        <a:xfrm>
          <a:off x="6391275" y="2419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466725</xdr:colOff>
      <xdr:row>148</xdr:row>
      <xdr:rowOff>0</xdr:rowOff>
    </xdr:from>
    <xdr:to>
      <xdr:col>48</xdr:col>
      <xdr:colOff>333375</xdr:colOff>
      <xdr:row>148</xdr:row>
      <xdr:rowOff>0</xdr:rowOff>
    </xdr:to>
    <xdr:sp>
      <xdr:nvSpPr>
        <xdr:cNvPr id="26" name="Line 24"/>
        <xdr:cNvSpPr>
          <a:spLocks/>
        </xdr:cNvSpPr>
      </xdr:nvSpPr>
      <xdr:spPr>
        <a:xfrm flipH="1">
          <a:off x="6391275" y="2419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190500</xdr:colOff>
      <xdr:row>148</xdr:row>
      <xdr:rowOff>0</xdr:rowOff>
    </xdr:from>
    <xdr:to>
      <xdr:col>50</xdr:col>
      <xdr:colOff>57150</xdr:colOff>
      <xdr:row>148</xdr:row>
      <xdr:rowOff>0</xdr:rowOff>
    </xdr:to>
    <xdr:sp>
      <xdr:nvSpPr>
        <xdr:cNvPr id="27" name="Line 25"/>
        <xdr:cNvSpPr>
          <a:spLocks/>
        </xdr:cNvSpPr>
      </xdr:nvSpPr>
      <xdr:spPr>
        <a:xfrm>
          <a:off x="6391275" y="2419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381000</xdr:colOff>
      <xdr:row>154</xdr:row>
      <xdr:rowOff>95250</xdr:rowOff>
    </xdr:from>
    <xdr:to>
      <xdr:col>49</xdr:col>
      <xdr:colOff>323850</xdr:colOff>
      <xdr:row>155</xdr:row>
      <xdr:rowOff>66675</xdr:rowOff>
    </xdr:to>
    <xdr:sp>
      <xdr:nvSpPr>
        <xdr:cNvPr id="28" name="Line 26"/>
        <xdr:cNvSpPr>
          <a:spLocks/>
        </xdr:cNvSpPr>
      </xdr:nvSpPr>
      <xdr:spPr>
        <a:xfrm>
          <a:off x="6391275" y="25260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390525</xdr:colOff>
      <xdr:row>159</xdr:row>
      <xdr:rowOff>152400</xdr:rowOff>
    </xdr:from>
    <xdr:to>
      <xdr:col>48</xdr:col>
      <xdr:colOff>504825</xdr:colOff>
      <xdr:row>160</xdr:row>
      <xdr:rowOff>47625</xdr:rowOff>
    </xdr:to>
    <xdr:sp>
      <xdr:nvSpPr>
        <xdr:cNvPr id="29" name="Line 27"/>
        <xdr:cNvSpPr>
          <a:spLocks/>
        </xdr:cNvSpPr>
      </xdr:nvSpPr>
      <xdr:spPr>
        <a:xfrm flipV="1">
          <a:off x="6391275" y="26127075"/>
          <a:ext cx="0" cy="57150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266700</xdr:colOff>
      <xdr:row>160</xdr:row>
      <xdr:rowOff>47625</xdr:rowOff>
    </xdr:from>
    <xdr:to>
      <xdr:col>48</xdr:col>
      <xdr:colOff>381000</xdr:colOff>
      <xdr:row>160</xdr:row>
      <xdr:rowOff>104775</xdr:rowOff>
    </xdr:to>
    <xdr:sp>
      <xdr:nvSpPr>
        <xdr:cNvPr id="30" name="Line 28"/>
        <xdr:cNvSpPr>
          <a:spLocks/>
        </xdr:cNvSpPr>
      </xdr:nvSpPr>
      <xdr:spPr>
        <a:xfrm flipV="1">
          <a:off x="6391275" y="26184225"/>
          <a:ext cx="0" cy="57150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504825</xdr:colOff>
      <xdr:row>159</xdr:row>
      <xdr:rowOff>152400</xdr:rowOff>
    </xdr:from>
    <xdr:to>
      <xdr:col>48</xdr:col>
      <xdr:colOff>600075</xdr:colOff>
      <xdr:row>160</xdr:row>
      <xdr:rowOff>95250</xdr:rowOff>
    </xdr:to>
    <xdr:sp>
      <xdr:nvSpPr>
        <xdr:cNvPr id="31" name="Line 29"/>
        <xdr:cNvSpPr>
          <a:spLocks/>
        </xdr:cNvSpPr>
      </xdr:nvSpPr>
      <xdr:spPr>
        <a:xfrm>
          <a:off x="6391275" y="261270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523875</xdr:colOff>
      <xdr:row>140</xdr:row>
      <xdr:rowOff>19050</xdr:rowOff>
    </xdr:from>
    <xdr:to>
      <xdr:col>48</xdr:col>
      <xdr:colOff>571500</xdr:colOff>
      <xdr:row>140</xdr:row>
      <xdr:rowOff>19050</xdr:rowOff>
    </xdr:to>
    <xdr:sp>
      <xdr:nvSpPr>
        <xdr:cNvPr id="32" name="Line 30"/>
        <xdr:cNvSpPr>
          <a:spLocks/>
        </xdr:cNvSpPr>
      </xdr:nvSpPr>
      <xdr:spPr>
        <a:xfrm flipH="1">
          <a:off x="6391275" y="2291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333375</xdr:colOff>
      <xdr:row>140</xdr:row>
      <xdr:rowOff>28575</xdr:rowOff>
    </xdr:from>
    <xdr:to>
      <xdr:col>50</xdr:col>
      <xdr:colOff>342900</xdr:colOff>
      <xdr:row>143</xdr:row>
      <xdr:rowOff>114300</xdr:rowOff>
    </xdr:to>
    <xdr:sp>
      <xdr:nvSpPr>
        <xdr:cNvPr id="33" name="Line 31"/>
        <xdr:cNvSpPr>
          <a:spLocks/>
        </xdr:cNvSpPr>
      </xdr:nvSpPr>
      <xdr:spPr>
        <a:xfrm flipH="1">
          <a:off x="6391275" y="22926675"/>
          <a:ext cx="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419100</xdr:colOff>
      <xdr:row>143</xdr:row>
      <xdr:rowOff>114300</xdr:rowOff>
    </xdr:from>
    <xdr:to>
      <xdr:col>50</xdr:col>
      <xdr:colOff>428625</xdr:colOff>
      <xdr:row>143</xdr:row>
      <xdr:rowOff>114300</xdr:rowOff>
    </xdr:to>
    <xdr:sp>
      <xdr:nvSpPr>
        <xdr:cNvPr id="34" name="Line 32"/>
        <xdr:cNvSpPr>
          <a:spLocks/>
        </xdr:cNvSpPr>
      </xdr:nvSpPr>
      <xdr:spPr>
        <a:xfrm flipH="1">
          <a:off x="6391275" y="23498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333375</xdr:colOff>
      <xdr:row>139</xdr:row>
      <xdr:rowOff>19050</xdr:rowOff>
    </xdr:from>
    <xdr:to>
      <xdr:col>49</xdr:col>
      <xdr:colOff>333375</xdr:colOff>
      <xdr:row>143</xdr:row>
      <xdr:rowOff>57150</xdr:rowOff>
    </xdr:to>
    <xdr:sp>
      <xdr:nvSpPr>
        <xdr:cNvPr id="35" name="Line 33"/>
        <xdr:cNvSpPr>
          <a:spLocks/>
        </xdr:cNvSpPr>
      </xdr:nvSpPr>
      <xdr:spPr>
        <a:xfrm>
          <a:off x="6391275" y="22755225"/>
          <a:ext cx="0" cy="6858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333375</xdr:colOff>
      <xdr:row>153</xdr:row>
      <xdr:rowOff>38100</xdr:rowOff>
    </xdr:from>
    <xdr:to>
      <xdr:col>49</xdr:col>
      <xdr:colOff>333375</xdr:colOff>
      <xdr:row>156</xdr:row>
      <xdr:rowOff>76200</xdr:rowOff>
    </xdr:to>
    <xdr:sp>
      <xdr:nvSpPr>
        <xdr:cNvPr id="36" name="Line 34"/>
        <xdr:cNvSpPr>
          <a:spLocks/>
        </xdr:cNvSpPr>
      </xdr:nvSpPr>
      <xdr:spPr>
        <a:xfrm>
          <a:off x="6391275" y="25041225"/>
          <a:ext cx="0" cy="5238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333375</xdr:colOff>
      <xdr:row>153</xdr:row>
      <xdr:rowOff>133350</xdr:rowOff>
    </xdr:from>
    <xdr:to>
      <xdr:col>50</xdr:col>
      <xdr:colOff>342900</xdr:colOff>
      <xdr:row>156</xdr:row>
      <xdr:rowOff>133350</xdr:rowOff>
    </xdr:to>
    <xdr:sp>
      <xdr:nvSpPr>
        <xdr:cNvPr id="37" name="Line 35"/>
        <xdr:cNvSpPr>
          <a:spLocks/>
        </xdr:cNvSpPr>
      </xdr:nvSpPr>
      <xdr:spPr>
        <a:xfrm flipH="1">
          <a:off x="6391275" y="251364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371475</xdr:colOff>
      <xdr:row>157</xdr:row>
      <xdr:rowOff>85725</xdr:rowOff>
    </xdr:from>
    <xdr:to>
      <xdr:col>50</xdr:col>
      <xdr:colOff>428625</xdr:colOff>
      <xdr:row>157</xdr:row>
      <xdr:rowOff>95250</xdr:rowOff>
    </xdr:to>
    <xdr:sp>
      <xdr:nvSpPr>
        <xdr:cNvPr id="38" name="Line 36"/>
        <xdr:cNvSpPr>
          <a:spLocks/>
        </xdr:cNvSpPr>
      </xdr:nvSpPr>
      <xdr:spPr>
        <a:xfrm rot="1085691" flipH="1">
          <a:off x="6391275" y="25736550"/>
          <a:ext cx="0" cy="952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177</xdr:row>
      <xdr:rowOff>0</xdr:rowOff>
    </xdr:from>
    <xdr:to>
      <xdr:col>10</xdr:col>
      <xdr:colOff>0</xdr:colOff>
      <xdr:row>180</xdr:row>
      <xdr:rowOff>0</xdr:rowOff>
    </xdr:to>
    <xdr:sp>
      <xdr:nvSpPr>
        <xdr:cNvPr id="39" name="Rectangle 37"/>
        <xdr:cNvSpPr>
          <a:spLocks/>
        </xdr:cNvSpPr>
      </xdr:nvSpPr>
      <xdr:spPr>
        <a:xfrm>
          <a:off x="6391275" y="29003625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333375</xdr:colOff>
      <xdr:row>140</xdr:row>
      <xdr:rowOff>57150</xdr:rowOff>
    </xdr:from>
    <xdr:to>
      <xdr:col>50</xdr:col>
      <xdr:colOff>95250</xdr:colOff>
      <xdr:row>143</xdr:row>
      <xdr:rowOff>57150</xdr:rowOff>
    </xdr:to>
    <xdr:sp>
      <xdr:nvSpPr>
        <xdr:cNvPr id="40" name="Arc 38"/>
        <xdr:cNvSpPr>
          <a:spLocks/>
        </xdr:cNvSpPr>
      </xdr:nvSpPr>
      <xdr:spPr>
        <a:xfrm>
          <a:off x="6391275" y="22955250"/>
          <a:ext cx="0" cy="485775"/>
        </a:xfrm>
        <a:custGeom>
          <a:pathLst>
            <a:path fill="none" h="21600" w="17764">
              <a:moveTo>
                <a:pt x="-1" y="0"/>
              </a:moveTo>
              <a:cubicBezTo>
                <a:pt x="7090" y="0"/>
                <a:pt x="13729" y="3480"/>
                <a:pt x="17763" y="9311"/>
              </a:cubicBezTo>
            </a:path>
            <a:path stroke="0" h="21600" w="17764">
              <a:moveTo>
                <a:pt x="-1" y="0"/>
              </a:moveTo>
              <a:cubicBezTo>
                <a:pt x="7090" y="0"/>
                <a:pt x="13729" y="3480"/>
                <a:pt x="17763" y="9311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57150</xdr:rowOff>
    </xdr:from>
    <xdr:to>
      <xdr:col>7</xdr:col>
      <xdr:colOff>285750</xdr:colOff>
      <xdr:row>8</xdr:row>
      <xdr:rowOff>57150</xdr:rowOff>
    </xdr:to>
    <xdr:sp>
      <xdr:nvSpPr>
        <xdr:cNvPr id="41" name="Line 242"/>
        <xdr:cNvSpPr>
          <a:spLocks/>
        </xdr:cNvSpPr>
      </xdr:nvSpPr>
      <xdr:spPr>
        <a:xfrm flipH="1">
          <a:off x="3981450" y="14287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47625</xdr:rowOff>
    </xdr:from>
    <xdr:to>
      <xdr:col>7</xdr:col>
      <xdr:colOff>276225</xdr:colOff>
      <xdr:row>8</xdr:row>
      <xdr:rowOff>47625</xdr:rowOff>
    </xdr:to>
    <xdr:sp>
      <xdr:nvSpPr>
        <xdr:cNvPr id="42" name="Line 243"/>
        <xdr:cNvSpPr>
          <a:spLocks/>
        </xdr:cNvSpPr>
      </xdr:nvSpPr>
      <xdr:spPr>
        <a:xfrm flipH="1">
          <a:off x="3981450" y="1419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21</xdr:row>
      <xdr:rowOff>47625</xdr:rowOff>
    </xdr:from>
    <xdr:to>
      <xdr:col>8</xdr:col>
      <xdr:colOff>66675</xdr:colOff>
      <xdr:row>21</xdr:row>
      <xdr:rowOff>47625</xdr:rowOff>
    </xdr:to>
    <xdr:sp>
      <xdr:nvSpPr>
        <xdr:cNvPr id="43" name="Line 244"/>
        <xdr:cNvSpPr>
          <a:spLocks/>
        </xdr:cNvSpPr>
      </xdr:nvSpPr>
      <xdr:spPr>
        <a:xfrm>
          <a:off x="4276725" y="3562350"/>
          <a:ext cx="962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9</xdr:row>
      <xdr:rowOff>76200</xdr:rowOff>
    </xdr:to>
    <xdr:sp>
      <xdr:nvSpPr>
        <xdr:cNvPr id="44" name="Line 250"/>
        <xdr:cNvSpPr>
          <a:spLocks/>
        </xdr:cNvSpPr>
      </xdr:nvSpPr>
      <xdr:spPr>
        <a:xfrm flipV="1">
          <a:off x="3343275" y="12096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133350</xdr:rowOff>
    </xdr:from>
    <xdr:to>
      <xdr:col>5</xdr:col>
      <xdr:colOff>333375</xdr:colOff>
      <xdr:row>11</xdr:row>
      <xdr:rowOff>133350</xdr:rowOff>
    </xdr:to>
    <xdr:sp>
      <xdr:nvSpPr>
        <xdr:cNvPr id="45" name="Freeform 224"/>
        <xdr:cNvSpPr>
          <a:spLocks/>
        </xdr:cNvSpPr>
      </xdr:nvSpPr>
      <xdr:spPr>
        <a:xfrm>
          <a:off x="3619500" y="1847850"/>
          <a:ext cx="57150" cy="180975"/>
        </a:xfrm>
        <a:custGeom>
          <a:pathLst>
            <a:path h="17" w="6">
              <a:moveTo>
                <a:pt x="2" y="16"/>
              </a:moveTo>
              <a:cubicBezTo>
                <a:pt x="5" y="11"/>
                <a:pt x="2" y="17"/>
                <a:pt x="1" y="13"/>
              </a:cubicBezTo>
              <a:cubicBezTo>
                <a:pt x="0" y="11"/>
                <a:pt x="6" y="9"/>
                <a:pt x="6" y="9"/>
              </a:cubicBezTo>
              <a:cubicBezTo>
                <a:pt x="1" y="7"/>
                <a:pt x="1" y="8"/>
                <a:pt x="3" y="5"/>
              </a:cubicBezTo>
              <a:cubicBezTo>
                <a:pt x="2" y="2"/>
                <a:pt x="3" y="3"/>
                <a:pt x="3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9</xdr:row>
      <xdr:rowOff>76200</xdr:rowOff>
    </xdr:from>
    <xdr:to>
      <xdr:col>7</xdr:col>
      <xdr:colOff>361950</xdr:colOff>
      <xdr:row>9</xdr:row>
      <xdr:rowOff>76200</xdr:rowOff>
    </xdr:to>
    <xdr:sp>
      <xdr:nvSpPr>
        <xdr:cNvPr id="46" name="Line 267"/>
        <xdr:cNvSpPr>
          <a:spLocks/>
        </xdr:cNvSpPr>
      </xdr:nvSpPr>
      <xdr:spPr>
        <a:xfrm>
          <a:off x="4791075" y="1628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76200</xdr:rowOff>
    </xdr:from>
    <xdr:to>
      <xdr:col>7</xdr:col>
      <xdr:colOff>219075</xdr:colOff>
      <xdr:row>20</xdr:row>
      <xdr:rowOff>85725</xdr:rowOff>
    </xdr:to>
    <xdr:grpSp>
      <xdr:nvGrpSpPr>
        <xdr:cNvPr id="47" name="Group 221"/>
        <xdr:cNvGrpSpPr>
          <a:grpSpLocks/>
        </xdr:cNvGrpSpPr>
      </xdr:nvGrpSpPr>
      <xdr:grpSpPr>
        <a:xfrm>
          <a:off x="3343275" y="1628775"/>
          <a:ext cx="1438275" cy="1809750"/>
          <a:chOff x="420" y="122"/>
          <a:chExt cx="151" cy="188"/>
        </a:xfrm>
        <a:solidFill>
          <a:srgbClr val="FFFFFF"/>
        </a:solidFill>
      </xdr:grpSpPr>
      <xdr:sp>
        <xdr:nvSpPr>
          <xdr:cNvPr id="48" name="Line 212"/>
          <xdr:cNvSpPr>
            <a:spLocks/>
          </xdr:cNvSpPr>
        </xdr:nvSpPr>
        <xdr:spPr>
          <a:xfrm flipV="1">
            <a:off x="420" y="122"/>
            <a:ext cx="0" cy="1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213"/>
          <xdr:cNvSpPr>
            <a:spLocks/>
          </xdr:cNvSpPr>
        </xdr:nvSpPr>
        <xdr:spPr>
          <a:xfrm>
            <a:off x="420" y="28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rc 214"/>
          <xdr:cNvSpPr>
            <a:spLocks/>
          </xdr:cNvSpPr>
        </xdr:nvSpPr>
        <xdr:spPr>
          <a:xfrm flipV="1">
            <a:off x="429" y="279"/>
            <a:ext cx="8" cy="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215"/>
          <xdr:cNvSpPr>
            <a:spLocks/>
          </xdr:cNvSpPr>
        </xdr:nvSpPr>
        <xdr:spPr>
          <a:xfrm>
            <a:off x="420" y="144"/>
            <a:ext cx="1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216"/>
          <xdr:cNvSpPr>
            <a:spLocks/>
          </xdr:cNvSpPr>
        </xdr:nvSpPr>
        <xdr:spPr>
          <a:xfrm>
            <a:off x="571" y="14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rc 217"/>
          <xdr:cNvSpPr>
            <a:spLocks/>
          </xdr:cNvSpPr>
        </xdr:nvSpPr>
        <xdr:spPr>
          <a:xfrm flipV="1">
            <a:off x="563" y="154"/>
            <a:ext cx="8" cy="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218"/>
          <xdr:cNvSpPr>
            <a:spLocks/>
          </xdr:cNvSpPr>
        </xdr:nvSpPr>
        <xdr:spPr>
          <a:xfrm flipH="1">
            <a:off x="444" y="162"/>
            <a:ext cx="1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219"/>
          <xdr:cNvSpPr>
            <a:spLocks/>
          </xdr:cNvSpPr>
        </xdr:nvSpPr>
        <xdr:spPr>
          <a:xfrm flipV="1">
            <a:off x="437" y="169"/>
            <a:ext cx="0" cy="1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rc 220"/>
          <xdr:cNvSpPr>
            <a:spLocks/>
          </xdr:cNvSpPr>
        </xdr:nvSpPr>
        <xdr:spPr>
          <a:xfrm flipH="1">
            <a:off x="437" y="162"/>
            <a:ext cx="8" cy="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38100</xdr:colOff>
      <xdr:row>12</xdr:row>
      <xdr:rowOff>85725</xdr:rowOff>
    </xdr:from>
    <xdr:to>
      <xdr:col>5</xdr:col>
      <xdr:colOff>161925</xdr:colOff>
      <xdr:row>12</xdr:row>
      <xdr:rowOff>85725</xdr:rowOff>
    </xdr:to>
    <xdr:sp>
      <xdr:nvSpPr>
        <xdr:cNvPr id="57" name="Line 222"/>
        <xdr:cNvSpPr>
          <a:spLocks/>
        </xdr:cNvSpPr>
      </xdr:nvSpPr>
      <xdr:spPr>
        <a:xfrm>
          <a:off x="3381375" y="2143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12</xdr:row>
      <xdr:rowOff>85725</xdr:rowOff>
    </xdr:from>
    <xdr:to>
      <xdr:col>5</xdr:col>
      <xdr:colOff>438150</xdr:colOff>
      <xdr:row>12</xdr:row>
      <xdr:rowOff>85725</xdr:rowOff>
    </xdr:to>
    <xdr:sp>
      <xdr:nvSpPr>
        <xdr:cNvPr id="58" name="Line 226"/>
        <xdr:cNvSpPr>
          <a:spLocks/>
        </xdr:cNvSpPr>
      </xdr:nvSpPr>
      <xdr:spPr>
        <a:xfrm flipH="1">
          <a:off x="3638550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12</xdr:row>
      <xdr:rowOff>0</xdr:rowOff>
    </xdr:from>
    <xdr:to>
      <xdr:col>5</xdr:col>
      <xdr:colOff>295275</xdr:colOff>
      <xdr:row>12</xdr:row>
      <xdr:rowOff>142875</xdr:rowOff>
    </xdr:to>
    <xdr:sp>
      <xdr:nvSpPr>
        <xdr:cNvPr id="59" name="Line 227"/>
        <xdr:cNvSpPr>
          <a:spLocks/>
        </xdr:cNvSpPr>
      </xdr:nvSpPr>
      <xdr:spPr>
        <a:xfrm>
          <a:off x="3638550" y="20574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161925</xdr:colOff>
      <xdr:row>12</xdr:row>
      <xdr:rowOff>123825</xdr:rowOff>
    </xdr:from>
    <xdr:ext cx="142875" cy="123825"/>
    <xdr:sp>
      <xdr:nvSpPr>
        <xdr:cNvPr id="60" name="Text Box 228"/>
        <xdr:cNvSpPr txBox="1">
          <a:spLocks noChangeArrowheads="1"/>
        </xdr:cNvSpPr>
      </xdr:nvSpPr>
      <xdr:spPr>
        <a:xfrm>
          <a:off x="3505200" y="21812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3/8</a:t>
          </a:r>
        </a:p>
      </xdr:txBody>
    </xdr:sp>
    <xdr:clientData/>
  </xdr:oneCellAnchor>
  <xdr:twoCellAnchor>
    <xdr:from>
      <xdr:col>4</xdr:col>
      <xdr:colOff>466725</xdr:colOff>
      <xdr:row>14</xdr:row>
      <xdr:rowOff>19050</xdr:rowOff>
    </xdr:from>
    <xdr:to>
      <xdr:col>5</xdr:col>
      <xdr:colOff>314325</xdr:colOff>
      <xdr:row>15</xdr:row>
      <xdr:rowOff>19050</xdr:rowOff>
    </xdr:to>
    <xdr:grpSp>
      <xdr:nvGrpSpPr>
        <xdr:cNvPr id="61" name="Group 238"/>
        <xdr:cNvGrpSpPr>
          <a:grpSpLocks/>
        </xdr:cNvGrpSpPr>
      </xdr:nvGrpSpPr>
      <xdr:grpSpPr>
        <a:xfrm>
          <a:off x="3200400" y="2400300"/>
          <a:ext cx="457200" cy="161925"/>
          <a:chOff x="403" y="239"/>
          <a:chExt cx="48" cy="17"/>
        </a:xfrm>
        <a:solidFill>
          <a:srgbClr val="FFFFFF"/>
        </a:solidFill>
      </xdr:grpSpPr>
      <xdr:sp>
        <xdr:nvSpPr>
          <xdr:cNvPr id="62" name="Line 229"/>
          <xdr:cNvSpPr>
            <a:spLocks/>
          </xdr:cNvSpPr>
        </xdr:nvSpPr>
        <xdr:spPr>
          <a:xfrm>
            <a:off x="403" y="2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230"/>
          <xdr:cNvSpPr>
            <a:spLocks/>
          </xdr:cNvSpPr>
        </xdr:nvSpPr>
        <xdr:spPr>
          <a:xfrm flipH="1">
            <a:off x="436" y="241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Text Box 231"/>
          <xdr:cNvSpPr txBox="1">
            <a:spLocks noChangeArrowheads="1"/>
          </xdr:cNvSpPr>
        </xdr:nvSpPr>
        <xdr:spPr>
          <a:xfrm>
            <a:off x="421" y="239"/>
            <a:ext cx="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</a:t>
            </a:r>
          </a:p>
        </xdr:txBody>
      </xdr:sp>
    </xdr:grpSp>
    <xdr:clientData/>
  </xdr:twoCellAnchor>
  <xdr:twoCellAnchor>
    <xdr:from>
      <xdr:col>6</xdr:col>
      <xdr:colOff>142875</xdr:colOff>
      <xdr:row>8</xdr:row>
      <xdr:rowOff>47625</xdr:rowOff>
    </xdr:from>
    <xdr:to>
      <xdr:col>6</xdr:col>
      <xdr:colOff>142875</xdr:colOff>
      <xdr:row>10</xdr:row>
      <xdr:rowOff>114300</xdr:rowOff>
    </xdr:to>
    <xdr:sp>
      <xdr:nvSpPr>
        <xdr:cNvPr id="65" name="Line 240"/>
        <xdr:cNvSpPr>
          <a:spLocks/>
        </xdr:cNvSpPr>
      </xdr:nvSpPr>
      <xdr:spPr>
        <a:xfrm flipV="1">
          <a:off x="4095750" y="14192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8</xdr:row>
      <xdr:rowOff>123825</xdr:rowOff>
    </xdr:from>
    <xdr:to>
      <xdr:col>6</xdr:col>
      <xdr:colOff>228600</xdr:colOff>
      <xdr:row>9</xdr:row>
      <xdr:rowOff>104775</xdr:rowOff>
    </xdr:to>
    <xdr:sp>
      <xdr:nvSpPr>
        <xdr:cNvPr id="66" name="Text Box 241"/>
        <xdr:cNvSpPr txBox="1">
          <a:spLocks noChangeArrowheads="1"/>
        </xdr:cNvSpPr>
      </xdr:nvSpPr>
      <xdr:spPr>
        <a:xfrm>
          <a:off x="3943350" y="1495425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oneCellAnchor>
    <xdr:from>
      <xdr:col>7</xdr:col>
      <xdr:colOff>238125</xdr:colOff>
      <xdr:row>8</xdr:row>
      <xdr:rowOff>47625</xdr:rowOff>
    </xdr:from>
    <xdr:ext cx="342900" cy="180975"/>
    <xdr:sp>
      <xdr:nvSpPr>
        <xdr:cNvPr id="67" name="Text Box 247"/>
        <xdr:cNvSpPr txBox="1">
          <a:spLocks noChangeArrowheads="1"/>
        </xdr:cNvSpPr>
      </xdr:nvSpPr>
      <xdr:spPr>
        <a:xfrm>
          <a:off x="4800600" y="14192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Beam</a:t>
          </a:r>
        </a:p>
      </xdr:txBody>
    </xdr:sp>
    <xdr:clientData/>
  </xdr:oneCellAnchor>
  <xdr:twoCellAnchor>
    <xdr:from>
      <xdr:col>5</xdr:col>
      <xdr:colOff>0</xdr:colOff>
      <xdr:row>7</xdr:row>
      <xdr:rowOff>104775</xdr:rowOff>
    </xdr:from>
    <xdr:to>
      <xdr:col>5</xdr:col>
      <xdr:colOff>66675</xdr:colOff>
      <xdr:row>7</xdr:row>
      <xdr:rowOff>114300</xdr:rowOff>
    </xdr:to>
    <xdr:sp>
      <xdr:nvSpPr>
        <xdr:cNvPr id="68" name="Line 249"/>
        <xdr:cNvSpPr>
          <a:spLocks/>
        </xdr:cNvSpPr>
      </xdr:nvSpPr>
      <xdr:spPr>
        <a:xfrm flipH="1">
          <a:off x="3343275" y="1314450"/>
          <a:ext cx="66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7</xdr:row>
      <xdr:rowOff>104775</xdr:rowOff>
    </xdr:from>
    <xdr:to>
      <xdr:col>5</xdr:col>
      <xdr:colOff>257175</xdr:colOff>
      <xdr:row>7</xdr:row>
      <xdr:rowOff>114300</xdr:rowOff>
    </xdr:to>
    <xdr:sp>
      <xdr:nvSpPr>
        <xdr:cNvPr id="69" name="Line 251"/>
        <xdr:cNvSpPr>
          <a:spLocks/>
        </xdr:cNvSpPr>
      </xdr:nvSpPr>
      <xdr:spPr>
        <a:xfrm>
          <a:off x="3505200" y="1314450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7</xdr:row>
      <xdr:rowOff>47625</xdr:rowOff>
    </xdr:from>
    <xdr:to>
      <xdr:col>5</xdr:col>
      <xdr:colOff>190500</xdr:colOff>
      <xdr:row>7</xdr:row>
      <xdr:rowOff>152400</xdr:rowOff>
    </xdr:to>
    <xdr:sp>
      <xdr:nvSpPr>
        <xdr:cNvPr id="70" name="Text Box 252"/>
        <xdr:cNvSpPr txBox="1">
          <a:spLocks noChangeArrowheads="1"/>
        </xdr:cNvSpPr>
      </xdr:nvSpPr>
      <xdr:spPr>
        <a:xfrm>
          <a:off x="3429000" y="1257300"/>
          <a:ext cx="1047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247650</xdr:colOff>
      <xdr:row>7</xdr:row>
      <xdr:rowOff>104775</xdr:rowOff>
    </xdr:from>
    <xdr:to>
      <xdr:col>6</xdr:col>
      <xdr:colOff>76200</xdr:colOff>
      <xdr:row>7</xdr:row>
      <xdr:rowOff>104775</xdr:rowOff>
    </xdr:to>
    <xdr:sp>
      <xdr:nvSpPr>
        <xdr:cNvPr id="71" name="Line 253"/>
        <xdr:cNvSpPr>
          <a:spLocks/>
        </xdr:cNvSpPr>
      </xdr:nvSpPr>
      <xdr:spPr>
        <a:xfrm flipH="1">
          <a:off x="3590925" y="1314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7</xdr:row>
      <xdr:rowOff>104775</xdr:rowOff>
    </xdr:from>
    <xdr:to>
      <xdr:col>7</xdr:col>
      <xdr:colOff>0</xdr:colOff>
      <xdr:row>7</xdr:row>
      <xdr:rowOff>104775</xdr:rowOff>
    </xdr:to>
    <xdr:sp>
      <xdr:nvSpPr>
        <xdr:cNvPr id="72" name="Line 254"/>
        <xdr:cNvSpPr>
          <a:spLocks/>
        </xdr:cNvSpPr>
      </xdr:nvSpPr>
      <xdr:spPr>
        <a:xfrm>
          <a:off x="4257675" y="13144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66675</xdr:rowOff>
    </xdr:from>
    <xdr:to>
      <xdr:col>6</xdr:col>
      <xdr:colOff>228600</xdr:colOff>
      <xdr:row>8</xdr:row>
      <xdr:rowOff>114300</xdr:rowOff>
    </xdr:to>
    <xdr:sp>
      <xdr:nvSpPr>
        <xdr:cNvPr id="73" name="Text Box 255"/>
        <xdr:cNvSpPr txBox="1">
          <a:spLocks noChangeArrowheads="1"/>
        </xdr:cNvSpPr>
      </xdr:nvSpPr>
      <xdr:spPr>
        <a:xfrm>
          <a:off x="4048125" y="1276350"/>
          <a:ext cx="133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7</xdr:col>
      <xdr:colOff>209550</xdr:colOff>
      <xdr:row>6</xdr:row>
      <xdr:rowOff>142875</xdr:rowOff>
    </xdr:from>
    <xdr:to>
      <xdr:col>7</xdr:col>
      <xdr:colOff>209550</xdr:colOff>
      <xdr:row>9</xdr:row>
      <xdr:rowOff>76200</xdr:rowOff>
    </xdr:to>
    <xdr:sp>
      <xdr:nvSpPr>
        <xdr:cNvPr id="74" name="Line 256"/>
        <xdr:cNvSpPr>
          <a:spLocks/>
        </xdr:cNvSpPr>
      </xdr:nvSpPr>
      <xdr:spPr>
        <a:xfrm>
          <a:off x="4772025" y="11715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76200</xdr:rowOff>
    </xdr:from>
    <xdr:to>
      <xdr:col>7</xdr:col>
      <xdr:colOff>209550</xdr:colOff>
      <xdr:row>10</xdr:row>
      <xdr:rowOff>123825</xdr:rowOff>
    </xdr:to>
    <xdr:sp>
      <xdr:nvSpPr>
        <xdr:cNvPr id="75" name="Line 257"/>
        <xdr:cNvSpPr>
          <a:spLocks/>
        </xdr:cNvSpPr>
      </xdr:nvSpPr>
      <xdr:spPr>
        <a:xfrm flipH="1">
          <a:off x="4562475" y="1628775"/>
          <a:ext cx="2095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7</xdr:row>
      <xdr:rowOff>9525</xdr:rowOff>
    </xdr:from>
    <xdr:to>
      <xdr:col>6</xdr:col>
      <xdr:colOff>47625</xdr:colOff>
      <xdr:row>7</xdr:row>
      <xdr:rowOff>9525</xdr:rowOff>
    </xdr:to>
    <xdr:sp>
      <xdr:nvSpPr>
        <xdr:cNvPr id="76" name="Line 258"/>
        <xdr:cNvSpPr>
          <a:spLocks/>
        </xdr:cNvSpPr>
      </xdr:nvSpPr>
      <xdr:spPr>
        <a:xfrm flipH="1">
          <a:off x="3590925" y="12192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7</xdr:row>
      <xdr:rowOff>9525</xdr:rowOff>
    </xdr:from>
    <xdr:to>
      <xdr:col>7</xdr:col>
      <xdr:colOff>209550</xdr:colOff>
      <xdr:row>7</xdr:row>
      <xdr:rowOff>9525</xdr:rowOff>
    </xdr:to>
    <xdr:sp>
      <xdr:nvSpPr>
        <xdr:cNvPr id="77" name="Line 259"/>
        <xdr:cNvSpPr>
          <a:spLocks/>
        </xdr:cNvSpPr>
      </xdr:nvSpPr>
      <xdr:spPr>
        <a:xfrm>
          <a:off x="4305300" y="1219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6</xdr:row>
      <xdr:rowOff>123825</xdr:rowOff>
    </xdr:from>
    <xdr:to>
      <xdr:col>6</xdr:col>
      <xdr:colOff>361950</xdr:colOff>
      <xdr:row>7</xdr:row>
      <xdr:rowOff>66675</xdr:rowOff>
    </xdr:to>
    <xdr:sp>
      <xdr:nvSpPr>
        <xdr:cNvPr id="78" name="Text Box 260"/>
        <xdr:cNvSpPr txBox="1">
          <a:spLocks noChangeArrowheads="1"/>
        </xdr:cNvSpPr>
      </xdr:nvSpPr>
      <xdr:spPr>
        <a:xfrm>
          <a:off x="4019550" y="1152525"/>
          <a:ext cx="2952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 + k</a:t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7</xdr:col>
      <xdr:colOff>0</xdr:colOff>
      <xdr:row>10</xdr:row>
      <xdr:rowOff>85725</xdr:rowOff>
    </xdr:to>
    <xdr:sp>
      <xdr:nvSpPr>
        <xdr:cNvPr id="79" name="Line 261"/>
        <xdr:cNvSpPr>
          <a:spLocks/>
        </xdr:cNvSpPr>
      </xdr:nvSpPr>
      <xdr:spPr>
        <a:xfrm>
          <a:off x="4562475" y="13049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66675</xdr:colOff>
      <xdr:row>7</xdr:row>
      <xdr:rowOff>104775</xdr:rowOff>
    </xdr:to>
    <xdr:sp>
      <xdr:nvSpPr>
        <xdr:cNvPr id="80" name="Line 262"/>
        <xdr:cNvSpPr>
          <a:spLocks/>
        </xdr:cNvSpPr>
      </xdr:nvSpPr>
      <xdr:spPr>
        <a:xfrm flipH="1">
          <a:off x="4562475" y="13144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7</xdr:row>
      <xdr:rowOff>104775</xdr:rowOff>
    </xdr:from>
    <xdr:to>
      <xdr:col>7</xdr:col>
      <xdr:colOff>228600</xdr:colOff>
      <xdr:row>7</xdr:row>
      <xdr:rowOff>104775</xdr:rowOff>
    </xdr:to>
    <xdr:sp>
      <xdr:nvSpPr>
        <xdr:cNvPr id="81" name="Line 263"/>
        <xdr:cNvSpPr>
          <a:spLocks/>
        </xdr:cNvSpPr>
      </xdr:nvSpPr>
      <xdr:spPr>
        <a:xfrm>
          <a:off x="4695825" y="1314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47625</xdr:rowOff>
    </xdr:from>
    <xdr:to>
      <xdr:col>7</xdr:col>
      <xdr:colOff>180975</xdr:colOff>
      <xdr:row>7</xdr:row>
      <xdr:rowOff>152400</xdr:rowOff>
    </xdr:to>
    <xdr:sp>
      <xdr:nvSpPr>
        <xdr:cNvPr id="82" name="Text Box 264"/>
        <xdr:cNvSpPr txBox="1">
          <a:spLocks noChangeArrowheads="1"/>
        </xdr:cNvSpPr>
      </xdr:nvSpPr>
      <xdr:spPr>
        <a:xfrm>
          <a:off x="4638675" y="1257300"/>
          <a:ext cx="1047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xdr:txBody>
    </xdr:sp>
    <xdr:clientData/>
  </xdr:twoCellAnchor>
  <xdr:twoCellAnchor>
    <xdr:from>
      <xdr:col>7</xdr:col>
      <xdr:colOff>228600</xdr:colOff>
      <xdr:row>9</xdr:row>
      <xdr:rowOff>76200</xdr:rowOff>
    </xdr:from>
    <xdr:to>
      <xdr:col>7</xdr:col>
      <xdr:colOff>304800</xdr:colOff>
      <xdr:row>10</xdr:row>
      <xdr:rowOff>114300</xdr:rowOff>
    </xdr:to>
    <xdr:grpSp>
      <xdr:nvGrpSpPr>
        <xdr:cNvPr id="83" name="Group 311"/>
        <xdr:cNvGrpSpPr>
          <a:grpSpLocks/>
        </xdr:cNvGrpSpPr>
      </xdr:nvGrpSpPr>
      <xdr:grpSpPr>
        <a:xfrm>
          <a:off x="4791075" y="1628775"/>
          <a:ext cx="76200" cy="200025"/>
          <a:chOff x="570" y="160"/>
          <a:chExt cx="8" cy="21"/>
        </a:xfrm>
        <a:solidFill>
          <a:srgbClr val="FFFFFF"/>
        </a:solidFill>
      </xdr:grpSpPr>
      <xdr:sp>
        <xdr:nvSpPr>
          <xdr:cNvPr id="84" name="Line 265"/>
          <xdr:cNvSpPr>
            <a:spLocks/>
          </xdr:cNvSpPr>
        </xdr:nvSpPr>
        <xdr:spPr>
          <a:xfrm>
            <a:off x="574" y="172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266"/>
          <xdr:cNvSpPr>
            <a:spLocks/>
          </xdr:cNvSpPr>
        </xdr:nvSpPr>
        <xdr:spPr>
          <a:xfrm flipV="1">
            <a:off x="574" y="160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268"/>
          <xdr:cNvSpPr txBox="1">
            <a:spLocks noChangeArrowheads="1"/>
          </xdr:cNvSpPr>
        </xdr:nvSpPr>
        <xdr:spPr>
          <a:xfrm>
            <a:off x="570" y="165"/>
            <a:ext cx="8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</a:p>
        </xdr:txBody>
      </xdr:sp>
    </xdr:grpSp>
    <xdr:clientData/>
  </xdr:twoCellAnchor>
  <xdr:twoCellAnchor>
    <xdr:from>
      <xdr:col>5</xdr:col>
      <xdr:colOff>9525</xdr:colOff>
      <xdr:row>8</xdr:row>
      <xdr:rowOff>114300</xdr:rowOff>
    </xdr:from>
    <xdr:to>
      <xdr:col>5</xdr:col>
      <xdr:colOff>276225</xdr:colOff>
      <xdr:row>8</xdr:row>
      <xdr:rowOff>114300</xdr:rowOff>
    </xdr:to>
    <xdr:sp>
      <xdr:nvSpPr>
        <xdr:cNvPr id="87" name="Line 269"/>
        <xdr:cNvSpPr>
          <a:spLocks/>
        </xdr:cNvSpPr>
      </xdr:nvSpPr>
      <xdr:spPr>
        <a:xfrm flipH="1">
          <a:off x="3352800" y="1485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8</xdr:row>
      <xdr:rowOff>28575</xdr:rowOff>
    </xdr:from>
    <xdr:to>
      <xdr:col>5</xdr:col>
      <xdr:colOff>409575</xdr:colOff>
      <xdr:row>9</xdr:row>
      <xdr:rowOff>0</xdr:rowOff>
    </xdr:to>
    <xdr:sp>
      <xdr:nvSpPr>
        <xdr:cNvPr id="88" name="Text Box 270"/>
        <xdr:cNvSpPr txBox="1">
          <a:spLocks noChangeArrowheads="1"/>
        </xdr:cNvSpPr>
      </xdr:nvSpPr>
      <xdr:spPr>
        <a:xfrm>
          <a:off x="3609975" y="1400175"/>
          <a:ext cx="142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5</xdr:col>
      <xdr:colOff>409575</xdr:colOff>
      <xdr:row>8</xdr:row>
      <xdr:rowOff>114300</xdr:rowOff>
    </xdr:from>
    <xdr:to>
      <xdr:col>6</xdr:col>
      <xdr:colOff>142875</xdr:colOff>
      <xdr:row>8</xdr:row>
      <xdr:rowOff>114300</xdr:rowOff>
    </xdr:to>
    <xdr:sp>
      <xdr:nvSpPr>
        <xdr:cNvPr id="89" name="Line 271"/>
        <xdr:cNvSpPr>
          <a:spLocks/>
        </xdr:cNvSpPr>
      </xdr:nvSpPr>
      <xdr:spPr>
        <a:xfrm>
          <a:off x="3752850" y="14859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11</xdr:row>
      <xdr:rowOff>0</xdr:rowOff>
    </xdr:from>
    <xdr:to>
      <xdr:col>6</xdr:col>
      <xdr:colOff>142875</xdr:colOff>
      <xdr:row>12</xdr:row>
      <xdr:rowOff>142875</xdr:rowOff>
    </xdr:to>
    <xdr:grpSp>
      <xdr:nvGrpSpPr>
        <xdr:cNvPr id="90" name="Group 312"/>
        <xdr:cNvGrpSpPr>
          <a:grpSpLocks/>
        </xdr:cNvGrpSpPr>
      </xdr:nvGrpSpPr>
      <xdr:grpSpPr>
        <a:xfrm>
          <a:off x="3800475" y="1895475"/>
          <a:ext cx="295275" cy="304800"/>
          <a:chOff x="466" y="186"/>
          <a:chExt cx="31" cy="32"/>
        </a:xfrm>
        <a:solidFill>
          <a:srgbClr val="FFFFFF"/>
        </a:solidFill>
      </xdr:grpSpPr>
      <xdr:sp>
        <xdr:nvSpPr>
          <xdr:cNvPr id="91" name="Text Box 272"/>
          <xdr:cNvSpPr txBox="1">
            <a:spLocks noChangeArrowheads="1"/>
          </xdr:cNvSpPr>
        </xdr:nvSpPr>
        <xdr:spPr>
          <a:xfrm>
            <a:off x="466" y="204"/>
            <a:ext cx="10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92" name="Line 273"/>
          <xdr:cNvSpPr>
            <a:spLocks/>
          </xdr:cNvSpPr>
        </xdr:nvSpPr>
        <xdr:spPr>
          <a:xfrm>
            <a:off x="477" y="212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274"/>
          <xdr:cNvSpPr>
            <a:spLocks/>
          </xdr:cNvSpPr>
        </xdr:nvSpPr>
        <xdr:spPr>
          <a:xfrm>
            <a:off x="497" y="186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247650</xdr:colOff>
      <xdr:row>6</xdr:row>
      <xdr:rowOff>9525</xdr:rowOff>
    </xdr:from>
    <xdr:to>
      <xdr:col>8</xdr:col>
      <xdr:colOff>104775</xdr:colOff>
      <xdr:row>10</xdr:row>
      <xdr:rowOff>123825</xdr:rowOff>
    </xdr:to>
    <xdr:grpSp>
      <xdr:nvGrpSpPr>
        <xdr:cNvPr id="94" name="Group 237"/>
        <xdr:cNvGrpSpPr>
          <a:grpSpLocks/>
        </xdr:cNvGrpSpPr>
      </xdr:nvGrpSpPr>
      <xdr:grpSpPr>
        <a:xfrm>
          <a:off x="3590925" y="1038225"/>
          <a:ext cx="1685925" cy="800100"/>
          <a:chOff x="442" y="102"/>
          <a:chExt cx="177" cy="80"/>
        </a:xfrm>
        <a:solidFill>
          <a:srgbClr val="FFFFFF"/>
        </a:solidFill>
      </xdr:grpSpPr>
      <xdr:sp>
        <xdr:nvSpPr>
          <xdr:cNvPr id="95" name="Line 232"/>
          <xdr:cNvSpPr>
            <a:spLocks/>
          </xdr:cNvSpPr>
        </xdr:nvSpPr>
        <xdr:spPr>
          <a:xfrm flipV="1">
            <a:off x="442" y="113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233"/>
          <xdr:cNvSpPr>
            <a:spLocks/>
          </xdr:cNvSpPr>
        </xdr:nvSpPr>
        <xdr:spPr>
          <a:xfrm>
            <a:off x="442" y="167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234"/>
          <xdr:cNvSpPr>
            <a:spLocks/>
          </xdr:cNvSpPr>
        </xdr:nvSpPr>
        <xdr:spPr>
          <a:xfrm>
            <a:off x="565" y="182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236"/>
          <xdr:cNvSpPr>
            <a:spLocks/>
          </xdr:cNvSpPr>
        </xdr:nvSpPr>
        <xdr:spPr>
          <a:xfrm>
            <a:off x="442" y="102"/>
            <a:ext cx="177" cy="80"/>
          </a:xfrm>
          <a:custGeom>
            <a:pathLst>
              <a:path h="80" w="177">
                <a:moveTo>
                  <a:pt x="0" y="11"/>
                </a:moveTo>
                <a:cubicBezTo>
                  <a:pt x="14" y="5"/>
                  <a:pt x="29" y="0"/>
                  <a:pt x="43" y="0"/>
                </a:cubicBezTo>
                <a:cubicBezTo>
                  <a:pt x="57" y="0"/>
                  <a:pt x="68" y="10"/>
                  <a:pt x="83" y="12"/>
                </a:cubicBezTo>
                <a:cubicBezTo>
                  <a:pt x="98" y="14"/>
                  <a:pt x="119" y="8"/>
                  <a:pt x="131" y="12"/>
                </a:cubicBezTo>
                <a:cubicBezTo>
                  <a:pt x="143" y="16"/>
                  <a:pt x="148" y="32"/>
                  <a:pt x="155" y="36"/>
                </a:cubicBezTo>
                <a:cubicBezTo>
                  <a:pt x="162" y="40"/>
                  <a:pt x="171" y="29"/>
                  <a:pt x="174" y="36"/>
                </a:cubicBezTo>
                <a:cubicBezTo>
                  <a:pt x="177" y="43"/>
                  <a:pt x="175" y="61"/>
                  <a:pt x="173" y="8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523875</xdr:colOff>
      <xdr:row>16</xdr:row>
      <xdr:rowOff>104775</xdr:rowOff>
    </xdr:from>
    <xdr:to>
      <xdr:col>5</xdr:col>
      <xdr:colOff>0</xdr:colOff>
      <xdr:row>20</xdr:row>
      <xdr:rowOff>76200</xdr:rowOff>
    </xdr:to>
    <xdr:grpSp>
      <xdr:nvGrpSpPr>
        <xdr:cNvPr id="99" name="Group 285"/>
        <xdr:cNvGrpSpPr>
          <a:grpSpLocks/>
        </xdr:cNvGrpSpPr>
      </xdr:nvGrpSpPr>
      <xdr:grpSpPr>
        <a:xfrm>
          <a:off x="3257550" y="2809875"/>
          <a:ext cx="85725" cy="619125"/>
          <a:chOff x="409" y="285"/>
          <a:chExt cx="9" cy="65"/>
        </a:xfrm>
        <a:solidFill>
          <a:srgbClr val="FFFFFF"/>
        </a:solidFill>
      </xdr:grpSpPr>
      <xdr:grpSp>
        <xdr:nvGrpSpPr>
          <xdr:cNvPr id="100" name="Group 279"/>
          <xdr:cNvGrpSpPr>
            <a:grpSpLocks/>
          </xdr:cNvGrpSpPr>
        </xdr:nvGrpSpPr>
        <xdr:grpSpPr>
          <a:xfrm>
            <a:off x="409" y="318"/>
            <a:ext cx="9" cy="32"/>
            <a:chOff x="409" y="318"/>
            <a:chExt cx="9" cy="32"/>
          </a:xfrm>
          <a:solidFill>
            <a:srgbClr val="FFFFFF"/>
          </a:solidFill>
        </xdr:grpSpPr>
        <xdr:sp>
          <xdr:nvSpPr>
            <xdr:cNvPr id="101" name="Line 275"/>
            <xdr:cNvSpPr>
              <a:spLocks/>
            </xdr:cNvSpPr>
          </xdr:nvSpPr>
          <xdr:spPr>
            <a:xfrm flipH="1">
              <a:off x="410" y="342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Line 276"/>
            <xdr:cNvSpPr>
              <a:spLocks/>
            </xdr:cNvSpPr>
          </xdr:nvSpPr>
          <xdr:spPr>
            <a:xfrm flipH="1">
              <a:off x="409" y="334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277"/>
            <xdr:cNvSpPr>
              <a:spLocks/>
            </xdr:cNvSpPr>
          </xdr:nvSpPr>
          <xdr:spPr>
            <a:xfrm flipH="1">
              <a:off x="409" y="32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Line 278"/>
            <xdr:cNvSpPr>
              <a:spLocks/>
            </xdr:cNvSpPr>
          </xdr:nvSpPr>
          <xdr:spPr>
            <a:xfrm flipH="1">
              <a:off x="409" y="318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5" name="Group 280"/>
          <xdr:cNvGrpSpPr>
            <a:grpSpLocks/>
          </xdr:cNvGrpSpPr>
        </xdr:nvGrpSpPr>
        <xdr:grpSpPr>
          <a:xfrm>
            <a:off x="409" y="285"/>
            <a:ext cx="9" cy="32"/>
            <a:chOff x="409" y="318"/>
            <a:chExt cx="9" cy="32"/>
          </a:xfrm>
          <a:solidFill>
            <a:srgbClr val="FFFFFF"/>
          </a:solidFill>
        </xdr:grpSpPr>
        <xdr:sp>
          <xdr:nvSpPr>
            <xdr:cNvPr id="106" name="Line 281"/>
            <xdr:cNvSpPr>
              <a:spLocks/>
            </xdr:cNvSpPr>
          </xdr:nvSpPr>
          <xdr:spPr>
            <a:xfrm flipH="1">
              <a:off x="410" y="342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282"/>
            <xdr:cNvSpPr>
              <a:spLocks/>
            </xdr:cNvSpPr>
          </xdr:nvSpPr>
          <xdr:spPr>
            <a:xfrm flipH="1">
              <a:off x="409" y="334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Line 283"/>
            <xdr:cNvSpPr>
              <a:spLocks/>
            </xdr:cNvSpPr>
          </xdr:nvSpPr>
          <xdr:spPr>
            <a:xfrm flipH="1">
              <a:off x="409" y="32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Line 284"/>
            <xdr:cNvSpPr>
              <a:spLocks/>
            </xdr:cNvSpPr>
          </xdr:nvSpPr>
          <xdr:spPr>
            <a:xfrm flipH="1">
              <a:off x="409" y="318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523875</xdr:colOff>
      <xdr:row>12</xdr:row>
      <xdr:rowOff>114300</xdr:rowOff>
    </xdr:from>
    <xdr:to>
      <xdr:col>5</xdr:col>
      <xdr:colOff>0</xdr:colOff>
      <xdr:row>16</xdr:row>
      <xdr:rowOff>85725</xdr:rowOff>
    </xdr:to>
    <xdr:grpSp>
      <xdr:nvGrpSpPr>
        <xdr:cNvPr id="110" name="Group 286"/>
        <xdr:cNvGrpSpPr>
          <a:grpSpLocks/>
        </xdr:cNvGrpSpPr>
      </xdr:nvGrpSpPr>
      <xdr:grpSpPr>
        <a:xfrm>
          <a:off x="3257550" y="2171700"/>
          <a:ext cx="85725" cy="619125"/>
          <a:chOff x="409" y="285"/>
          <a:chExt cx="9" cy="65"/>
        </a:xfrm>
        <a:solidFill>
          <a:srgbClr val="FFFFFF"/>
        </a:solidFill>
      </xdr:grpSpPr>
      <xdr:grpSp>
        <xdr:nvGrpSpPr>
          <xdr:cNvPr id="111" name="Group 287"/>
          <xdr:cNvGrpSpPr>
            <a:grpSpLocks/>
          </xdr:cNvGrpSpPr>
        </xdr:nvGrpSpPr>
        <xdr:grpSpPr>
          <a:xfrm>
            <a:off x="409" y="318"/>
            <a:ext cx="9" cy="32"/>
            <a:chOff x="409" y="318"/>
            <a:chExt cx="9" cy="32"/>
          </a:xfrm>
          <a:solidFill>
            <a:srgbClr val="FFFFFF"/>
          </a:solidFill>
        </xdr:grpSpPr>
        <xdr:sp>
          <xdr:nvSpPr>
            <xdr:cNvPr id="112" name="Line 288"/>
            <xdr:cNvSpPr>
              <a:spLocks/>
            </xdr:cNvSpPr>
          </xdr:nvSpPr>
          <xdr:spPr>
            <a:xfrm flipH="1">
              <a:off x="410" y="342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Line 289"/>
            <xdr:cNvSpPr>
              <a:spLocks/>
            </xdr:cNvSpPr>
          </xdr:nvSpPr>
          <xdr:spPr>
            <a:xfrm flipH="1">
              <a:off x="409" y="334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Line 290"/>
            <xdr:cNvSpPr>
              <a:spLocks/>
            </xdr:cNvSpPr>
          </xdr:nvSpPr>
          <xdr:spPr>
            <a:xfrm flipH="1">
              <a:off x="409" y="32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291"/>
            <xdr:cNvSpPr>
              <a:spLocks/>
            </xdr:cNvSpPr>
          </xdr:nvSpPr>
          <xdr:spPr>
            <a:xfrm flipH="1">
              <a:off x="409" y="318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6" name="Group 292"/>
          <xdr:cNvGrpSpPr>
            <a:grpSpLocks/>
          </xdr:cNvGrpSpPr>
        </xdr:nvGrpSpPr>
        <xdr:grpSpPr>
          <a:xfrm>
            <a:off x="409" y="285"/>
            <a:ext cx="9" cy="32"/>
            <a:chOff x="409" y="318"/>
            <a:chExt cx="9" cy="32"/>
          </a:xfrm>
          <a:solidFill>
            <a:srgbClr val="FFFFFF"/>
          </a:solidFill>
        </xdr:grpSpPr>
        <xdr:sp>
          <xdr:nvSpPr>
            <xdr:cNvPr id="117" name="Line 293"/>
            <xdr:cNvSpPr>
              <a:spLocks/>
            </xdr:cNvSpPr>
          </xdr:nvSpPr>
          <xdr:spPr>
            <a:xfrm flipH="1">
              <a:off x="410" y="342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Line 294"/>
            <xdr:cNvSpPr>
              <a:spLocks/>
            </xdr:cNvSpPr>
          </xdr:nvSpPr>
          <xdr:spPr>
            <a:xfrm flipH="1">
              <a:off x="409" y="334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Line 295"/>
            <xdr:cNvSpPr>
              <a:spLocks/>
            </xdr:cNvSpPr>
          </xdr:nvSpPr>
          <xdr:spPr>
            <a:xfrm flipH="1">
              <a:off x="409" y="32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296"/>
            <xdr:cNvSpPr>
              <a:spLocks/>
            </xdr:cNvSpPr>
          </xdr:nvSpPr>
          <xdr:spPr>
            <a:xfrm flipH="1">
              <a:off x="409" y="318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523875</xdr:colOff>
      <xdr:row>8</xdr:row>
      <xdr:rowOff>133350</xdr:rowOff>
    </xdr:from>
    <xdr:to>
      <xdr:col>5</xdr:col>
      <xdr:colOff>0</xdr:colOff>
      <xdr:row>12</xdr:row>
      <xdr:rowOff>104775</xdr:rowOff>
    </xdr:to>
    <xdr:grpSp>
      <xdr:nvGrpSpPr>
        <xdr:cNvPr id="121" name="Group 297"/>
        <xdr:cNvGrpSpPr>
          <a:grpSpLocks/>
        </xdr:cNvGrpSpPr>
      </xdr:nvGrpSpPr>
      <xdr:grpSpPr>
        <a:xfrm>
          <a:off x="3257550" y="1504950"/>
          <a:ext cx="85725" cy="657225"/>
          <a:chOff x="409" y="285"/>
          <a:chExt cx="9" cy="65"/>
        </a:xfrm>
        <a:solidFill>
          <a:srgbClr val="FFFFFF"/>
        </a:solidFill>
      </xdr:grpSpPr>
      <xdr:grpSp>
        <xdr:nvGrpSpPr>
          <xdr:cNvPr id="122" name="Group 298"/>
          <xdr:cNvGrpSpPr>
            <a:grpSpLocks/>
          </xdr:cNvGrpSpPr>
        </xdr:nvGrpSpPr>
        <xdr:grpSpPr>
          <a:xfrm>
            <a:off x="409" y="318"/>
            <a:ext cx="9" cy="32"/>
            <a:chOff x="409" y="318"/>
            <a:chExt cx="9" cy="32"/>
          </a:xfrm>
          <a:solidFill>
            <a:srgbClr val="FFFFFF"/>
          </a:solidFill>
        </xdr:grpSpPr>
        <xdr:sp>
          <xdr:nvSpPr>
            <xdr:cNvPr id="123" name="Line 299"/>
            <xdr:cNvSpPr>
              <a:spLocks/>
            </xdr:cNvSpPr>
          </xdr:nvSpPr>
          <xdr:spPr>
            <a:xfrm flipH="1">
              <a:off x="410" y="342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Line 300"/>
            <xdr:cNvSpPr>
              <a:spLocks/>
            </xdr:cNvSpPr>
          </xdr:nvSpPr>
          <xdr:spPr>
            <a:xfrm flipH="1">
              <a:off x="409" y="334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Line 301"/>
            <xdr:cNvSpPr>
              <a:spLocks/>
            </xdr:cNvSpPr>
          </xdr:nvSpPr>
          <xdr:spPr>
            <a:xfrm flipH="1">
              <a:off x="409" y="32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Line 302"/>
            <xdr:cNvSpPr>
              <a:spLocks/>
            </xdr:cNvSpPr>
          </xdr:nvSpPr>
          <xdr:spPr>
            <a:xfrm flipH="1">
              <a:off x="409" y="318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7" name="Group 303"/>
          <xdr:cNvGrpSpPr>
            <a:grpSpLocks/>
          </xdr:cNvGrpSpPr>
        </xdr:nvGrpSpPr>
        <xdr:grpSpPr>
          <a:xfrm>
            <a:off x="409" y="285"/>
            <a:ext cx="9" cy="32"/>
            <a:chOff x="409" y="318"/>
            <a:chExt cx="9" cy="32"/>
          </a:xfrm>
          <a:solidFill>
            <a:srgbClr val="FFFFFF"/>
          </a:solidFill>
        </xdr:grpSpPr>
        <xdr:sp>
          <xdr:nvSpPr>
            <xdr:cNvPr id="128" name="Line 304"/>
            <xdr:cNvSpPr>
              <a:spLocks/>
            </xdr:cNvSpPr>
          </xdr:nvSpPr>
          <xdr:spPr>
            <a:xfrm flipH="1">
              <a:off x="410" y="342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Line 305"/>
            <xdr:cNvSpPr>
              <a:spLocks/>
            </xdr:cNvSpPr>
          </xdr:nvSpPr>
          <xdr:spPr>
            <a:xfrm flipH="1">
              <a:off x="409" y="334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Line 306"/>
            <xdr:cNvSpPr>
              <a:spLocks/>
            </xdr:cNvSpPr>
          </xdr:nvSpPr>
          <xdr:spPr>
            <a:xfrm flipH="1">
              <a:off x="409" y="32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Line 307"/>
            <xdr:cNvSpPr>
              <a:spLocks/>
            </xdr:cNvSpPr>
          </xdr:nvSpPr>
          <xdr:spPr>
            <a:xfrm flipH="1">
              <a:off x="409" y="318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314325</xdr:colOff>
      <xdr:row>11</xdr:row>
      <xdr:rowOff>57150</xdr:rowOff>
    </xdr:from>
    <xdr:to>
      <xdr:col>5</xdr:col>
      <xdr:colOff>304800</xdr:colOff>
      <xdr:row>12</xdr:row>
      <xdr:rowOff>133350</xdr:rowOff>
    </xdr:to>
    <xdr:sp>
      <xdr:nvSpPr>
        <xdr:cNvPr id="132" name="Freeform 320"/>
        <xdr:cNvSpPr>
          <a:spLocks/>
        </xdr:cNvSpPr>
      </xdr:nvSpPr>
      <xdr:spPr>
        <a:xfrm>
          <a:off x="3048000" y="1952625"/>
          <a:ext cx="600075" cy="238125"/>
        </a:xfrm>
        <a:custGeom>
          <a:pathLst>
            <a:path h="25" w="52">
              <a:moveTo>
                <a:pt x="52" y="0"/>
              </a:moveTo>
              <a:cubicBezTo>
                <a:pt x="44" y="2"/>
                <a:pt x="37" y="5"/>
                <a:pt x="31" y="9"/>
              </a:cubicBezTo>
              <a:cubicBezTo>
                <a:pt x="25" y="13"/>
                <a:pt x="22" y="21"/>
                <a:pt x="17" y="23"/>
              </a:cubicBezTo>
              <a:cubicBezTo>
                <a:pt x="12" y="25"/>
                <a:pt x="6" y="24"/>
                <a:pt x="0" y="23"/>
              </a:cubicBezTo>
            </a:path>
          </a:pathLst>
        </a:cu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14</xdr:row>
      <xdr:rowOff>114300</xdr:rowOff>
    </xdr:from>
    <xdr:to>
      <xdr:col>9</xdr:col>
      <xdr:colOff>523875</xdr:colOff>
      <xdr:row>16</xdr:row>
      <xdr:rowOff>57150</xdr:rowOff>
    </xdr:to>
    <xdr:sp>
      <xdr:nvSpPr>
        <xdr:cNvPr id="133" name="Line 326"/>
        <xdr:cNvSpPr>
          <a:spLocks/>
        </xdr:cNvSpPr>
      </xdr:nvSpPr>
      <xdr:spPr>
        <a:xfrm flipH="1">
          <a:off x="6115050" y="2495550"/>
          <a:ext cx="190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16</xdr:row>
      <xdr:rowOff>38100</xdr:rowOff>
    </xdr:from>
    <xdr:to>
      <xdr:col>8</xdr:col>
      <xdr:colOff>123825</xdr:colOff>
      <xdr:row>18</xdr:row>
      <xdr:rowOff>0</xdr:rowOff>
    </xdr:to>
    <xdr:sp>
      <xdr:nvSpPr>
        <xdr:cNvPr id="134" name="Line 328"/>
        <xdr:cNvSpPr>
          <a:spLocks/>
        </xdr:cNvSpPr>
      </xdr:nvSpPr>
      <xdr:spPr>
        <a:xfrm flipV="1">
          <a:off x="4676775" y="2743200"/>
          <a:ext cx="6191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18</xdr:row>
      <xdr:rowOff>19050</xdr:rowOff>
    </xdr:from>
    <xdr:to>
      <xdr:col>7</xdr:col>
      <xdr:colOff>104775</xdr:colOff>
      <xdr:row>18</xdr:row>
      <xdr:rowOff>19050</xdr:rowOff>
    </xdr:to>
    <xdr:sp>
      <xdr:nvSpPr>
        <xdr:cNvPr id="135" name="Line 329"/>
        <xdr:cNvSpPr>
          <a:spLocks/>
        </xdr:cNvSpPr>
      </xdr:nvSpPr>
      <xdr:spPr>
        <a:xfrm flipH="1">
          <a:off x="4124325" y="3048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18</xdr:row>
      <xdr:rowOff>19050</xdr:rowOff>
    </xdr:from>
    <xdr:to>
      <xdr:col>6</xdr:col>
      <xdr:colOff>390525</xdr:colOff>
      <xdr:row>19</xdr:row>
      <xdr:rowOff>38100</xdr:rowOff>
    </xdr:to>
    <xdr:sp>
      <xdr:nvSpPr>
        <xdr:cNvPr id="136" name="Line 330"/>
        <xdr:cNvSpPr>
          <a:spLocks/>
        </xdr:cNvSpPr>
      </xdr:nvSpPr>
      <xdr:spPr>
        <a:xfrm>
          <a:off x="4343400" y="30480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18</xdr:row>
      <xdr:rowOff>19050</xdr:rowOff>
    </xdr:from>
    <xdr:to>
      <xdr:col>6</xdr:col>
      <xdr:colOff>581025</xdr:colOff>
      <xdr:row>19</xdr:row>
      <xdr:rowOff>47625</xdr:rowOff>
    </xdr:to>
    <xdr:sp>
      <xdr:nvSpPr>
        <xdr:cNvPr id="137" name="Line 331"/>
        <xdr:cNvSpPr>
          <a:spLocks/>
        </xdr:cNvSpPr>
      </xdr:nvSpPr>
      <xdr:spPr>
        <a:xfrm flipV="1">
          <a:off x="4343400" y="3048000"/>
          <a:ext cx="1905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14</xdr:row>
      <xdr:rowOff>104775</xdr:rowOff>
    </xdr:from>
    <xdr:to>
      <xdr:col>9</xdr:col>
      <xdr:colOff>514350</xdr:colOff>
      <xdr:row>18</xdr:row>
      <xdr:rowOff>28575</xdr:rowOff>
    </xdr:to>
    <xdr:sp>
      <xdr:nvSpPr>
        <xdr:cNvPr id="138" name="Line 332"/>
        <xdr:cNvSpPr>
          <a:spLocks/>
        </xdr:cNvSpPr>
      </xdr:nvSpPr>
      <xdr:spPr>
        <a:xfrm flipH="1">
          <a:off x="4638675" y="2486025"/>
          <a:ext cx="16573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10</xdr:row>
      <xdr:rowOff>76200</xdr:rowOff>
    </xdr:from>
    <xdr:to>
      <xdr:col>18</xdr:col>
      <xdr:colOff>514350</xdr:colOff>
      <xdr:row>11</xdr:row>
      <xdr:rowOff>57150</xdr:rowOff>
    </xdr:to>
    <xdr:sp>
      <xdr:nvSpPr>
        <xdr:cNvPr id="139" name="Rectangle 338"/>
        <xdr:cNvSpPr>
          <a:spLocks/>
        </xdr:cNvSpPr>
      </xdr:nvSpPr>
      <xdr:spPr>
        <a:xfrm>
          <a:off x="6391275" y="179070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10</xdr:row>
      <xdr:rowOff>104775</xdr:rowOff>
    </xdr:from>
    <xdr:to>
      <xdr:col>18</xdr:col>
      <xdr:colOff>514350</xdr:colOff>
      <xdr:row>10</xdr:row>
      <xdr:rowOff>104775</xdr:rowOff>
    </xdr:to>
    <xdr:sp>
      <xdr:nvSpPr>
        <xdr:cNvPr id="140" name="Line 339"/>
        <xdr:cNvSpPr>
          <a:spLocks/>
        </xdr:cNvSpPr>
      </xdr:nvSpPr>
      <xdr:spPr>
        <a:xfrm>
          <a:off x="6391275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11</xdr:row>
      <xdr:rowOff>28575</xdr:rowOff>
    </xdr:from>
    <xdr:to>
      <xdr:col>18</xdr:col>
      <xdr:colOff>514350</xdr:colOff>
      <xdr:row>11</xdr:row>
      <xdr:rowOff>28575</xdr:rowOff>
    </xdr:to>
    <xdr:sp>
      <xdr:nvSpPr>
        <xdr:cNvPr id="141" name="Line 340"/>
        <xdr:cNvSpPr>
          <a:spLocks/>
        </xdr:cNvSpPr>
      </xdr:nvSpPr>
      <xdr:spPr>
        <a:xfrm>
          <a:off x="6391275" y="192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409575</xdr:colOff>
      <xdr:row>11</xdr:row>
      <xdr:rowOff>66675</xdr:rowOff>
    </xdr:from>
    <xdr:to>
      <xdr:col>14</xdr:col>
      <xdr:colOff>542925</xdr:colOff>
      <xdr:row>12</xdr:row>
      <xdr:rowOff>38100</xdr:rowOff>
    </xdr:to>
    <xdr:sp>
      <xdr:nvSpPr>
        <xdr:cNvPr id="142" name="AutoShape 341"/>
        <xdr:cNvSpPr>
          <a:spLocks/>
        </xdr:cNvSpPr>
      </xdr:nvSpPr>
      <xdr:spPr>
        <a:xfrm>
          <a:off x="6391275" y="1962150"/>
          <a:ext cx="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11</xdr:row>
      <xdr:rowOff>66675</xdr:rowOff>
    </xdr:from>
    <xdr:to>
      <xdr:col>18</xdr:col>
      <xdr:colOff>581025</xdr:colOff>
      <xdr:row>12</xdr:row>
      <xdr:rowOff>38100</xdr:rowOff>
    </xdr:to>
    <xdr:sp>
      <xdr:nvSpPr>
        <xdr:cNvPr id="143" name="AutoShape 342"/>
        <xdr:cNvSpPr>
          <a:spLocks/>
        </xdr:cNvSpPr>
      </xdr:nvSpPr>
      <xdr:spPr>
        <a:xfrm>
          <a:off x="6391275" y="1962150"/>
          <a:ext cx="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12</xdr:row>
      <xdr:rowOff>38100</xdr:rowOff>
    </xdr:from>
    <xdr:to>
      <xdr:col>15</xdr:col>
      <xdr:colOff>19050</xdr:colOff>
      <xdr:row>12</xdr:row>
      <xdr:rowOff>38100</xdr:rowOff>
    </xdr:to>
    <xdr:sp>
      <xdr:nvSpPr>
        <xdr:cNvPr id="144" name="Line 343"/>
        <xdr:cNvSpPr>
          <a:spLocks/>
        </xdr:cNvSpPr>
      </xdr:nvSpPr>
      <xdr:spPr>
        <a:xfrm>
          <a:off x="639127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361950</xdr:colOff>
      <xdr:row>12</xdr:row>
      <xdr:rowOff>38100</xdr:rowOff>
    </xdr:from>
    <xdr:to>
      <xdr:col>18</xdr:col>
      <xdr:colOff>666750</xdr:colOff>
      <xdr:row>12</xdr:row>
      <xdr:rowOff>38100</xdr:rowOff>
    </xdr:to>
    <xdr:sp>
      <xdr:nvSpPr>
        <xdr:cNvPr id="145" name="Line 344"/>
        <xdr:cNvSpPr>
          <a:spLocks/>
        </xdr:cNvSpPr>
      </xdr:nvSpPr>
      <xdr:spPr>
        <a:xfrm>
          <a:off x="639127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12</xdr:row>
      <xdr:rowOff>47625</xdr:rowOff>
    </xdr:from>
    <xdr:to>
      <xdr:col>15</xdr:col>
      <xdr:colOff>19050</xdr:colOff>
      <xdr:row>12</xdr:row>
      <xdr:rowOff>142875</xdr:rowOff>
    </xdr:to>
    <xdr:sp>
      <xdr:nvSpPr>
        <xdr:cNvPr id="146" name="Rectangle 345" descr="Light upward diagonal"/>
        <xdr:cNvSpPr>
          <a:spLocks/>
        </xdr:cNvSpPr>
      </xdr:nvSpPr>
      <xdr:spPr>
        <a:xfrm>
          <a:off x="6391275" y="2105025"/>
          <a:ext cx="0" cy="952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361950</xdr:colOff>
      <xdr:row>12</xdr:row>
      <xdr:rowOff>47625</xdr:rowOff>
    </xdr:from>
    <xdr:to>
      <xdr:col>18</xdr:col>
      <xdr:colOff>666750</xdr:colOff>
      <xdr:row>12</xdr:row>
      <xdr:rowOff>142875</xdr:rowOff>
    </xdr:to>
    <xdr:sp>
      <xdr:nvSpPr>
        <xdr:cNvPr id="147" name="Rectangle 346" descr="Light upward diagonal"/>
        <xdr:cNvSpPr>
          <a:spLocks/>
        </xdr:cNvSpPr>
      </xdr:nvSpPr>
      <xdr:spPr>
        <a:xfrm>
          <a:off x="6391275" y="2105025"/>
          <a:ext cx="0" cy="952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13</xdr:row>
      <xdr:rowOff>0</xdr:rowOff>
    </xdr:from>
    <xdr:to>
      <xdr:col>14</xdr:col>
      <xdr:colOff>476250</xdr:colOff>
      <xdr:row>14</xdr:row>
      <xdr:rowOff>123825</xdr:rowOff>
    </xdr:to>
    <xdr:sp>
      <xdr:nvSpPr>
        <xdr:cNvPr id="148" name="Line 347"/>
        <xdr:cNvSpPr>
          <a:spLocks/>
        </xdr:cNvSpPr>
      </xdr:nvSpPr>
      <xdr:spPr>
        <a:xfrm>
          <a:off x="6391275" y="22193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514350</xdr:colOff>
      <xdr:row>13</xdr:row>
      <xdr:rowOff>0</xdr:rowOff>
    </xdr:from>
    <xdr:to>
      <xdr:col>18</xdr:col>
      <xdr:colOff>514350</xdr:colOff>
      <xdr:row>14</xdr:row>
      <xdr:rowOff>123825</xdr:rowOff>
    </xdr:to>
    <xdr:sp>
      <xdr:nvSpPr>
        <xdr:cNvPr id="149" name="Line 348"/>
        <xdr:cNvSpPr>
          <a:spLocks/>
        </xdr:cNvSpPr>
      </xdr:nvSpPr>
      <xdr:spPr>
        <a:xfrm>
          <a:off x="6391275" y="22193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14</xdr:row>
      <xdr:rowOff>9525</xdr:rowOff>
    </xdr:from>
    <xdr:to>
      <xdr:col>18</xdr:col>
      <xdr:colOff>514350</xdr:colOff>
      <xdr:row>14</xdr:row>
      <xdr:rowOff>9525</xdr:rowOff>
    </xdr:to>
    <xdr:sp>
      <xdr:nvSpPr>
        <xdr:cNvPr id="150" name="Line 349"/>
        <xdr:cNvSpPr>
          <a:spLocks/>
        </xdr:cNvSpPr>
      </xdr:nvSpPr>
      <xdr:spPr>
        <a:xfrm>
          <a:off x="6391275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9</xdr:row>
      <xdr:rowOff>104775</xdr:rowOff>
    </xdr:from>
    <xdr:to>
      <xdr:col>18</xdr:col>
      <xdr:colOff>514350</xdr:colOff>
      <xdr:row>10</xdr:row>
      <xdr:rowOff>76200</xdr:rowOff>
    </xdr:to>
    <xdr:sp>
      <xdr:nvSpPr>
        <xdr:cNvPr id="151" name="Rectangle 350"/>
        <xdr:cNvSpPr>
          <a:spLocks/>
        </xdr:cNvSpPr>
      </xdr:nvSpPr>
      <xdr:spPr>
        <a:xfrm>
          <a:off x="6391275" y="1657350"/>
          <a:ext cx="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17</xdr:row>
      <xdr:rowOff>123825</xdr:rowOff>
    </xdr:from>
    <xdr:to>
      <xdr:col>17</xdr:col>
      <xdr:colOff>581025</xdr:colOff>
      <xdr:row>17</xdr:row>
      <xdr:rowOff>123825</xdr:rowOff>
    </xdr:to>
    <xdr:sp>
      <xdr:nvSpPr>
        <xdr:cNvPr id="152" name="Line 351"/>
        <xdr:cNvSpPr>
          <a:spLocks/>
        </xdr:cNvSpPr>
      </xdr:nvSpPr>
      <xdr:spPr>
        <a:xfrm>
          <a:off x="6391275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18</xdr:row>
      <xdr:rowOff>9525</xdr:rowOff>
    </xdr:from>
    <xdr:to>
      <xdr:col>17</xdr:col>
      <xdr:colOff>581025</xdr:colOff>
      <xdr:row>18</xdr:row>
      <xdr:rowOff>9525</xdr:rowOff>
    </xdr:to>
    <xdr:sp>
      <xdr:nvSpPr>
        <xdr:cNvPr id="153" name="Line 352"/>
        <xdr:cNvSpPr>
          <a:spLocks/>
        </xdr:cNvSpPr>
      </xdr:nvSpPr>
      <xdr:spPr>
        <a:xfrm>
          <a:off x="639127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21</xdr:row>
      <xdr:rowOff>0</xdr:rowOff>
    </xdr:from>
    <xdr:to>
      <xdr:col>17</xdr:col>
      <xdr:colOff>581025</xdr:colOff>
      <xdr:row>21</xdr:row>
      <xdr:rowOff>0</xdr:rowOff>
    </xdr:to>
    <xdr:sp>
      <xdr:nvSpPr>
        <xdr:cNvPr id="154" name="Line 353"/>
        <xdr:cNvSpPr>
          <a:spLocks/>
        </xdr:cNvSpPr>
      </xdr:nvSpPr>
      <xdr:spPr>
        <a:xfrm>
          <a:off x="6391275" y="351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21</xdr:row>
      <xdr:rowOff>47625</xdr:rowOff>
    </xdr:from>
    <xdr:to>
      <xdr:col>17</xdr:col>
      <xdr:colOff>581025</xdr:colOff>
      <xdr:row>21</xdr:row>
      <xdr:rowOff>47625</xdr:rowOff>
    </xdr:to>
    <xdr:sp>
      <xdr:nvSpPr>
        <xdr:cNvPr id="155" name="Line 354"/>
        <xdr:cNvSpPr>
          <a:spLocks/>
        </xdr:cNvSpPr>
      </xdr:nvSpPr>
      <xdr:spPr>
        <a:xfrm>
          <a:off x="63912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17</xdr:row>
      <xdr:rowOff>123825</xdr:rowOff>
    </xdr:from>
    <xdr:to>
      <xdr:col>15</xdr:col>
      <xdr:colOff>371475</xdr:colOff>
      <xdr:row>21</xdr:row>
      <xdr:rowOff>47625</xdr:rowOff>
    </xdr:to>
    <xdr:sp>
      <xdr:nvSpPr>
        <xdr:cNvPr id="156" name="Line 355"/>
        <xdr:cNvSpPr>
          <a:spLocks/>
        </xdr:cNvSpPr>
      </xdr:nvSpPr>
      <xdr:spPr>
        <a:xfrm>
          <a:off x="6391275" y="29908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20</xdr:row>
      <xdr:rowOff>95250</xdr:rowOff>
    </xdr:from>
    <xdr:to>
      <xdr:col>16</xdr:col>
      <xdr:colOff>209550</xdr:colOff>
      <xdr:row>20</xdr:row>
      <xdr:rowOff>95250</xdr:rowOff>
    </xdr:to>
    <xdr:sp>
      <xdr:nvSpPr>
        <xdr:cNvPr id="157" name="Line 356"/>
        <xdr:cNvSpPr>
          <a:spLocks/>
        </xdr:cNvSpPr>
      </xdr:nvSpPr>
      <xdr:spPr>
        <a:xfrm>
          <a:off x="63912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20</xdr:row>
      <xdr:rowOff>95250</xdr:rowOff>
    </xdr:from>
    <xdr:to>
      <xdr:col>16</xdr:col>
      <xdr:colOff>209550</xdr:colOff>
      <xdr:row>20</xdr:row>
      <xdr:rowOff>95250</xdr:rowOff>
    </xdr:to>
    <xdr:sp>
      <xdr:nvSpPr>
        <xdr:cNvPr id="158" name="Line 357"/>
        <xdr:cNvSpPr>
          <a:spLocks/>
        </xdr:cNvSpPr>
      </xdr:nvSpPr>
      <xdr:spPr>
        <a:xfrm>
          <a:off x="63912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20</xdr:row>
      <xdr:rowOff>95250</xdr:rowOff>
    </xdr:from>
    <xdr:to>
      <xdr:col>16</xdr:col>
      <xdr:colOff>200025</xdr:colOff>
      <xdr:row>21</xdr:row>
      <xdr:rowOff>47625</xdr:rowOff>
    </xdr:to>
    <xdr:sp>
      <xdr:nvSpPr>
        <xdr:cNvPr id="159" name="Line 358"/>
        <xdr:cNvSpPr>
          <a:spLocks/>
        </xdr:cNvSpPr>
      </xdr:nvSpPr>
      <xdr:spPr>
        <a:xfrm flipH="1">
          <a:off x="6391275" y="34480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21</xdr:row>
      <xdr:rowOff>76200</xdr:rowOff>
    </xdr:from>
    <xdr:to>
      <xdr:col>15</xdr:col>
      <xdr:colOff>371475</xdr:colOff>
      <xdr:row>24</xdr:row>
      <xdr:rowOff>66675</xdr:rowOff>
    </xdr:to>
    <xdr:sp>
      <xdr:nvSpPr>
        <xdr:cNvPr id="160" name="Line 359"/>
        <xdr:cNvSpPr>
          <a:spLocks/>
        </xdr:cNvSpPr>
      </xdr:nvSpPr>
      <xdr:spPr>
        <a:xfrm>
          <a:off x="6391275" y="35909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21</xdr:row>
      <xdr:rowOff>76200</xdr:rowOff>
    </xdr:from>
    <xdr:to>
      <xdr:col>16</xdr:col>
      <xdr:colOff>85725</xdr:colOff>
      <xdr:row>24</xdr:row>
      <xdr:rowOff>66675</xdr:rowOff>
    </xdr:to>
    <xdr:sp>
      <xdr:nvSpPr>
        <xdr:cNvPr id="161" name="Line 360"/>
        <xdr:cNvSpPr>
          <a:spLocks/>
        </xdr:cNvSpPr>
      </xdr:nvSpPr>
      <xdr:spPr>
        <a:xfrm>
          <a:off x="6391275" y="35909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23</xdr:row>
      <xdr:rowOff>152400</xdr:rowOff>
    </xdr:from>
    <xdr:to>
      <xdr:col>16</xdr:col>
      <xdr:colOff>85725</xdr:colOff>
      <xdr:row>23</xdr:row>
      <xdr:rowOff>152400</xdr:rowOff>
    </xdr:to>
    <xdr:sp>
      <xdr:nvSpPr>
        <xdr:cNvPr id="162" name="Line 361"/>
        <xdr:cNvSpPr>
          <a:spLocks/>
        </xdr:cNvSpPr>
      </xdr:nvSpPr>
      <xdr:spPr>
        <a:xfrm>
          <a:off x="6391275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19</xdr:row>
      <xdr:rowOff>76200</xdr:rowOff>
    </xdr:from>
    <xdr:to>
      <xdr:col>16</xdr:col>
      <xdr:colOff>209550</xdr:colOff>
      <xdr:row>20</xdr:row>
      <xdr:rowOff>66675</xdr:rowOff>
    </xdr:to>
    <xdr:sp>
      <xdr:nvSpPr>
        <xdr:cNvPr id="163" name="Line 362"/>
        <xdr:cNvSpPr>
          <a:spLocks/>
        </xdr:cNvSpPr>
      </xdr:nvSpPr>
      <xdr:spPr>
        <a:xfrm flipV="1">
          <a:off x="6391275" y="32670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20</xdr:row>
      <xdr:rowOff>0</xdr:rowOff>
    </xdr:from>
    <xdr:to>
      <xdr:col>16</xdr:col>
      <xdr:colOff>209550</xdr:colOff>
      <xdr:row>20</xdr:row>
      <xdr:rowOff>0</xdr:rowOff>
    </xdr:to>
    <xdr:sp>
      <xdr:nvSpPr>
        <xdr:cNvPr id="164" name="Line 363"/>
        <xdr:cNvSpPr>
          <a:spLocks/>
        </xdr:cNvSpPr>
      </xdr:nvSpPr>
      <xdr:spPr>
        <a:xfrm>
          <a:off x="6391275" y="335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542925</xdr:colOff>
      <xdr:row>21</xdr:row>
      <xdr:rowOff>47625</xdr:rowOff>
    </xdr:from>
    <xdr:to>
      <xdr:col>15</xdr:col>
      <xdr:colOff>542925</xdr:colOff>
      <xdr:row>22</xdr:row>
      <xdr:rowOff>28575</xdr:rowOff>
    </xdr:to>
    <xdr:sp>
      <xdr:nvSpPr>
        <xdr:cNvPr id="165" name="Line 364"/>
        <xdr:cNvSpPr>
          <a:spLocks/>
        </xdr:cNvSpPr>
      </xdr:nvSpPr>
      <xdr:spPr>
        <a:xfrm flipV="1">
          <a:off x="6391275" y="35623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590550</xdr:colOff>
      <xdr:row>9</xdr:row>
      <xdr:rowOff>104775</xdr:rowOff>
    </xdr:from>
    <xdr:to>
      <xdr:col>16</xdr:col>
      <xdr:colOff>590550</xdr:colOff>
      <xdr:row>10</xdr:row>
      <xdr:rowOff>76200</xdr:rowOff>
    </xdr:to>
    <xdr:sp>
      <xdr:nvSpPr>
        <xdr:cNvPr id="166" name="Line 365"/>
        <xdr:cNvSpPr>
          <a:spLocks/>
        </xdr:cNvSpPr>
      </xdr:nvSpPr>
      <xdr:spPr>
        <a:xfrm>
          <a:off x="6391275" y="1657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9</xdr:row>
      <xdr:rowOff>104775</xdr:rowOff>
    </xdr:from>
    <xdr:to>
      <xdr:col>15</xdr:col>
      <xdr:colOff>247650</xdr:colOff>
      <xdr:row>10</xdr:row>
      <xdr:rowOff>76200</xdr:rowOff>
    </xdr:to>
    <xdr:sp>
      <xdr:nvSpPr>
        <xdr:cNvPr id="167" name="Line 366"/>
        <xdr:cNvSpPr>
          <a:spLocks/>
        </xdr:cNvSpPr>
      </xdr:nvSpPr>
      <xdr:spPr>
        <a:xfrm>
          <a:off x="6391275" y="1657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9</xdr:row>
      <xdr:rowOff>104775</xdr:rowOff>
    </xdr:from>
    <xdr:to>
      <xdr:col>17</xdr:col>
      <xdr:colOff>171450</xdr:colOff>
      <xdr:row>10</xdr:row>
      <xdr:rowOff>76200</xdr:rowOff>
    </xdr:to>
    <xdr:sp>
      <xdr:nvSpPr>
        <xdr:cNvPr id="168" name="Line 367"/>
        <xdr:cNvSpPr>
          <a:spLocks/>
        </xdr:cNvSpPr>
      </xdr:nvSpPr>
      <xdr:spPr>
        <a:xfrm>
          <a:off x="6391275" y="1657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9</xdr:row>
      <xdr:rowOff>104775</xdr:rowOff>
    </xdr:from>
    <xdr:to>
      <xdr:col>15</xdr:col>
      <xdr:colOff>57150</xdr:colOff>
      <xdr:row>10</xdr:row>
      <xdr:rowOff>76200</xdr:rowOff>
    </xdr:to>
    <xdr:sp>
      <xdr:nvSpPr>
        <xdr:cNvPr id="169" name="Line 368"/>
        <xdr:cNvSpPr>
          <a:spLocks/>
        </xdr:cNvSpPr>
      </xdr:nvSpPr>
      <xdr:spPr>
        <a:xfrm>
          <a:off x="6391275" y="1657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438150</xdr:colOff>
      <xdr:row>9</xdr:row>
      <xdr:rowOff>104775</xdr:rowOff>
    </xdr:from>
    <xdr:to>
      <xdr:col>15</xdr:col>
      <xdr:colOff>438150</xdr:colOff>
      <xdr:row>10</xdr:row>
      <xdr:rowOff>76200</xdr:rowOff>
    </xdr:to>
    <xdr:sp>
      <xdr:nvSpPr>
        <xdr:cNvPr id="170" name="Line 369"/>
        <xdr:cNvSpPr>
          <a:spLocks/>
        </xdr:cNvSpPr>
      </xdr:nvSpPr>
      <xdr:spPr>
        <a:xfrm>
          <a:off x="6391275" y="1657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9</xdr:row>
      <xdr:rowOff>104775</xdr:rowOff>
    </xdr:from>
    <xdr:to>
      <xdr:col>16</xdr:col>
      <xdr:colOff>19050</xdr:colOff>
      <xdr:row>10</xdr:row>
      <xdr:rowOff>76200</xdr:rowOff>
    </xdr:to>
    <xdr:sp>
      <xdr:nvSpPr>
        <xdr:cNvPr id="171" name="Line 370"/>
        <xdr:cNvSpPr>
          <a:spLocks/>
        </xdr:cNvSpPr>
      </xdr:nvSpPr>
      <xdr:spPr>
        <a:xfrm>
          <a:off x="6391275" y="1657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9</xdr:row>
      <xdr:rowOff>104775</xdr:rowOff>
    </xdr:from>
    <xdr:to>
      <xdr:col>16</xdr:col>
      <xdr:colOff>209550</xdr:colOff>
      <xdr:row>10</xdr:row>
      <xdr:rowOff>76200</xdr:rowOff>
    </xdr:to>
    <xdr:sp>
      <xdr:nvSpPr>
        <xdr:cNvPr id="172" name="Line 371"/>
        <xdr:cNvSpPr>
          <a:spLocks/>
        </xdr:cNvSpPr>
      </xdr:nvSpPr>
      <xdr:spPr>
        <a:xfrm>
          <a:off x="6391275" y="1657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9</xdr:row>
      <xdr:rowOff>104775</xdr:rowOff>
    </xdr:from>
    <xdr:to>
      <xdr:col>16</xdr:col>
      <xdr:colOff>400050</xdr:colOff>
      <xdr:row>10</xdr:row>
      <xdr:rowOff>76200</xdr:rowOff>
    </xdr:to>
    <xdr:sp>
      <xdr:nvSpPr>
        <xdr:cNvPr id="173" name="Line 372"/>
        <xdr:cNvSpPr>
          <a:spLocks/>
        </xdr:cNvSpPr>
      </xdr:nvSpPr>
      <xdr:spPr>
        <a:xfrm>
          <a:off x="6391275" y="1657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514350</xdr:colOff>
      <xdr:row>9</xdr:row>
      <xdr:rowOff>104775</xdr:rowOff>
    </xdr:from>
    <xdr:to>
      <xdr:col>18</xdr:col>
      <xdr:colOff>514350</xdr:colOff>
      <xdr:row>10</xdr:row>
      <xdr:rowOff>76200</xdr:rowOff>
    </xdr:to>
    <xdr:sp>
      <xdr:nvSpPr>
        <xdr:cNvPr id="174" name="Line 373"/>
        <xdr:cNvSpPr>
          <a:spLocks/>
        </xdr:cNvSpPr>
      </xdr:nvSpPr>
      <xdr:spPr>
        <a:xfrm>
          <a:off x="6391275" y="1657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9</xdr:row>
      <xdr:rowOff>104775</xdr:rowOff>
    </xdr:from>
    <xdr:to>
      <xdr:col>14</xdr:col>
      <xdr:colOff>476250</xdr:colOff>
      <xdr:row>10</xdr:row>
      <xdr:rowOff>76200</xdr:rowOff>
    </xdr:to>
    <xdr:sp>
      <xdr:nvSpPr>
        <xdr:cNvPr id="175" name="Line 374"/>
        <xdr:cNvSpPr>
          <a:spLocks/>
        </xdr:cNvSpPr>
      </xdr:nvSpPr>
      <xdr:spPr>
        <a:xfrm>
          <a:off x="6391275" y="1657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361950</xdr:colOff>
      <xdr:row>9</xdr:row>
      <xdr:rowOff>104775</xdr:rowOff>
    </xdr:from>
    <xdr:to>
      <xdr:col>17</xdr:col>
      <xdr:colOff>361950</xdr:colOff>
      <xdr:row>10</xdr:row>
      <xdr:rowOff>76200</xdr:rowOff>
    </xdr:to>
    <xdr:sp>
      <xdr:nvSpPr>
        <xdr:cNvPr id="176" name="Line 375"/>
        <xdr:cNvSpPr>
          <a:spLocks/>
        </xdr:cNvSpPr>
      </xdr:nvSpPr>
      <xdr:spPr>
        <a:xfrm>
          <a:off x="6391275" y="1657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552450</xdr:colOff>
      <xdr:row>9</xdr:row>
      <xdr:rowOff>104775</xdr:rowOff>
    </xdr:from>
    <xdr:to>
      <xdr:col>17</xdr:col>
      <xdr:colOff>552450</xdr:colOff>
      <xdr:row>10</xdr:row>
      <xdr:rowOff>76200</xdr:rowOff>
    </xdr:to>
    <xdr:sp>
      <xdr:nvSpPr>
        <xdr:cNvPr id="177" name="Line 376"/>
        <xdr:cNvSpPr>
          <a:spLocks/>
        </xdr:cNvSpPr>
      </xdr:nvSpPr>
      <xdr:spPr>
        <a:xfrm>
          <a:off x="6391275" y="1657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9</xdr:row>
      <xdr:rowOff>104775</xdr:rowOff>
    </xdr:from>
    <xdr:to>
      <xdr:col>18</xdr:col>
      <xdr:colOff>133350</xdr:colOff>
      <xdr:row>10</xdr:row>
      <xdr:rowOff>76200</xdr:rowOff>
    </xdr:to>
    <xdr:sp>
      <xdr:nvSpPr>
        <xdr:cNvPr id="178" name="Line 377"/>
        <xdr:cNvSpPr>
          <a:spLocks/>
        </xdr:cNvSpPr>
      </xdr:nvSpPr>
      <xdr:spPr>
        <a:xfrm>
          <a:off x="6391275" y="1657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</xdr:row>
      <xdr:rowOff>104775</xdr:rowOff>
    </xdr:from>
    <xdr:to>
      <xdr:col>18</xdr:col>
      <xdr:colOff>323850</xdr:colOff>
      <xdr:row>10</xdr:row>
      <xdr:rowOff>76200</xdr:rowOff>
    </xdr:to>
    <xdr:sp>
      <xdr:nvSpPr>
        <xdr:cNvPr id="179" name="Line 378"/>
        <xdr:cNvSpPr>
          <a:spLocks/>
        </xdr:cNvSpPr>
      </xdr:nvSpPr>
      <xdr:spPr>
        <a:xfrm>
          <a:off x="6391275" y="1657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581025</xdr:colOff>
      <xdr:row>17</xdr:row>
      <xdr:rowOff>66675</xdr:rowOff>
    </xdr:from>
    <xdr:to>
      <xdr:col>17</xdr:col>
      <xdr:colOff>581025</xdr:colOff>
      <xdr:row>19</xdr:row>
      <xdr:rowOff>9525</xdr:rowOff>
    </xdr:to>
    <xdr:sp>
      <xdr:nvSpPr>
        <xdr:cNvPr id="180" name="Line 379"/>
        <xdr:cNvSpPr>
          <a:spLocks/>
        </xdr:cNvSpPr>
      </xdr:nvSpPr>
      <xdr:spPr>
        <a:xfrm>
          <a:off x="6391275" y="29337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581025</xdr:colOff>
      <xdr:row>20</xdr:row>
      <xdr:rowOff>9525</xdr:rowOff>
    </xdr:from>
    <xdr:to>
      <xdr:col>17</xdr:col>
      <xdr:colOff>581025</xdr:colOff>
      <xdr:row>21</xdr:row>
      <xdr:rowOff>114300</xdr:rowOff>
    </xdr:to>
    <xdr:sp>
      <xdr:nvSpPr>
        <xdr:cNvPr id="181" name="Line 380"/>
        <xdr:cNvSpPr>
          <a:spLocks/>
        </xdr:cNvSpPr>
      </xdr:nvSpPr>
      <xdr:spPr>
        <a:xfrm>
          <a:off x="6391275" y="3362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228600</xdr:colOff>
      <xdr:row>20</xdr:row>
      <xdr:rowOff>95250</xdr:rowOff>
    </xdr:from>
    <xdr:to>
      <xdr:col>16</xdr:col>
      <xdr:colOff>390525</xdr:colOff>
      <xdr:row>20</xdr:row>
      <xdr:rowOff>95250</xdr:rowOff>
    </xdr:to>
    <xdr:sp>
      <xdr:nvSpPr>
        <xdr:cNvPr id="182" name="Line 381"/>
        <xdr:cNvSpPr>
          <a:spLocks/>
        </xdr:cNvSpPr>
      </xdr:nvSpPr>
      <xdr:spPr>
        <a:xfrm>
          <a:off x="63912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21</xdr:row>
      <xdr:rowOff>47625</xdr:rowOff>
    </xdr:from>
    <xdr:to>
      <xdr:col>16</xdr:col>
      <xdr:colOff>342900</xdr:colOff>
      <xdr:row>22</xdr:row>
      <xdr:rowOff>9525</xdr:rowOff>
    </xdr:to>
    <xdr:sp>
      <xdr:nvSpPr>
        <xdr:cNvPr id="183" name="Line 382"/>
        <xdr:cNvSpPr>
          <a:spLocks/>
        </xdr:cNvSpPr>
      </xdr:nvSpPr>
      <xdr:spPr>
        <a:xfrm flipV="1">
          <a:off x="6391275" y="35623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19</xdr:row>
      <xdr:rowOff>133350</xdr:rowOff>
    </xdr:from>
    <xdr:to>
      <xdr:col>16</xdr:col>
      <xdr:colOff>342900</xdr:colOff>
      <xdr:row>20</xdr:row>
      <xdr:rowOff>95250</xdr:rowOff>
    </xdr:to>
    <xdr:sp>
      <xdr:nvSpPr>
        <xdr:cNvPr id="184" name="Line 383"/>
        <xdr:cNvSpPr>
          <a:spLocks/>
        </xdr:cNvSpPr>
      </xdr:nvSpPr>
      <xdr:spPr>
        <a:xfrm>
          <a:off x="6391275" y="3324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20</xdr:row>
      <xdr:rowOff>95250</xdr:rowOff>
    </xdr:from>
    <xdr:to>
      <xdr:col>16</xdr:col>
      <xdr:colOff>342900</xdr:colOff>
      <xdr:row>21</xdr:row>
      <xdr:rowOff>47625</xdr:rowOff>
    </xdr:to>
    <xdr:sp>
      <xdr:nvSpPr>
        <xdr:cNvPr id="185" name="Line 384"/>
        <xdr:cNvSpPr>
          <a:spLocks/>
        </xdr:cNvSpPr>
      </xdr:nvSpPr>
      <xdr:spPr>
        <a:xfrm>
          <a:off x="6391275" y="34480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504825</xdr:colOff>
      <xdr:row>8</xdr:row>
      <xdr:rowOff>95250</xdr:rowOff>
    </xdr:from>
    <xdr:to>
      <xdr:col>15</xdr:col>
      <xdr:colOff>600075</xdr:colOff>
      <xdr:row>8</xdr:row>
      <xdr:rowOff>95250</xdr:rowOff>
    </xdr:to>
    <xdr:sp>
      <xdr:nvSpPr>
        <xdr:cNvPr id="186" name="Line 385"/>
        <xdr:cNvSpPr>
          <a:spLocks/>
        </xdr:cNvSpPr>
      </xdr:nvSpPr>
      <xdr:spPr>
        <a:xfrm flipH="1">
          <a:off x="639127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504825</xdr:colOff>
      <xdr:row>8</xdr:row>
      <xdr:rowOff>95250</xdr:rowOff>
    </xdr:from>
    <xdr:to>
      <xdr:col>15</xdr:col>
      <xdr:colOff>504825</xdr:colOff>
      <xdr:row>9</xdr:row>
      <xdr:rowOff>104775</xdr:rowOff>
    </xdr:to>
    <xdr:sp>
      <xdr:nvSpPr>
        <xdr:cNvPr id="187" name="Line 386"/>
        <xdr:cNvSpPr>
          <a:spLocks/>
        </xdr:cNvSpPr>
      </xdr:nvSpPr>
      <xdr:spPr>
        <a:xfrm flipH="1">
          <a:off x="6391275" y="1466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12</xdr:row>
      <xdr:rowOff>76200</xdr:rowOff>
    </xdr:from>
    <xdr:to>
      <xdr:col>16</xdr:col>
      <xdr:colOff>600075</xdr:colOff>
      <xdr:row>12</xdr:row>
      <xdr:rowOff>76200</xdr:rowOff>
    </xdr:to>
    <xdr:sp>
      <xdr:nvSpPr>
        <xdr:cNvPr id="188" name="Line 387"/>
        <xdr:cNvSpPr>
          <a:spLocks/>
        </xdr:cNvSpPr>
      </xdr:nvSpPr>
      <xdr:spPr>
        <a:xfrm flipH="1">
          <a:off x="63912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11</xdr:row>
      <xdr:rowOff>57150</xdr:rowOff>
    </xdr:from>
    <xdr:to>
      <xdr:col>16</xdr:col>
      <xdr:colOff>504825</xdr:colOff>
      <xdr:row>12</xdr:row>
      <xdr:rowOff>76200</xdr:rowOff>
    </xdr:to>
    <xdr:sp>
      <xdr:nvSpPr>
        <xdr:cNvPr id="189" name="Line 388"/>
        <xdr:cNvSpPr>
          <a:spLocks/>
        </xdr:cNvSpPr>
      </xdr:nvSpPr>
      <xdr:spPr>
        <a:xfrm flipV="1">
          <a:off x="6391275" y="19526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542925</xdr:colOff>
      <xdr:row>9</xdr:row>
      <xdr:rowOff>104775</xdr:rowOff>
    </xdr:from>
    <xdr:to>
      <xdr:col>18</xdr:col>
      <xdr:colOff>704850</xdr:colOff>
      <xdr:row>9</xdr:row>
      <xdr:rowOff>104775</xdr:rowOff>
    </xdr:to>
    <xdr:sp>
      <xdr:nvSpPr>
        <xdr:cNvPr id="190" name="Line 389"/>
        <xdr:cNvSpPr>
          <a:spLocks/>
        </xdr:cNvSpPr>
      </xdr:nvSpPr>
      <xdr:spPr>
        <a:xfrm>
          <a:off x="6391275" y="16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542925</xdr:colOff>
      <xdr:row>10</xdr:row>
      <xdr:rowOff>76200</xdr:rowOff>
    </xdr:from>
    <xdr:to>
      <xdr:col>18</xdr:col>
      <xdr:colOff>704850</xdr:colOff>
      <xdr:row>10</xdr:row>
      <xdr:rowOff>76200</xdr:rowOff>
    </xdr:to>
    <xdr:sp>
      <xdr:nvSpPr>
        <xdr:cNvPr id="191" name="Line 390"/>
        <xdr:cNvSpPr>
          <a:spLocks/>
        </xdr:cNvSpPr>
      </xdr:nvSpPr>
      <xdr:spPr>
        <a:xfrm>
          <a:off x="6391275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628650</xdr:colOff>
      <xdr:row>8</xdr:row>
      <xdr:rowOff>38100</xdr:rowOff>
    </xdr:from>
    <xdr:to>
      <xdr:col>18</xdr:col>
      <xdr:colOff>628650</xdr:colOff>
      <xdr:row>9</xdr:row>
      <xdr:rowOff>104775</xdr:rowOff>
    </xdr:to>
    <xdr:sp>
      <xdr:nvSpPr>
        <xdr:cNvPr id="192" name="Line 391"/>
        <xdr:cNvSpPr>
          <a:spLocks/>
        </xdr:cNvSpPr>
      </xdr:nvSpPr>
      <xdr:spPr>
        <a:xfrm>
          <a:off x="6391275" y="1409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628650</xdr:colOff>
      <xdr:row>10</xdr:row>
      <xdr:rowOff>76200</xdr:rowOff>
    </xdr:from>
    <xdr:to>
      <xdr:col>18</xdr:col>
      <xdr:colOff>628650</xdr:colOff>
      <xdr:row>11</xdr:row>
      <xdr:rowOff>47625</xdr:rowOff>
    </xdr:to>
    <xdr:sp>
      <xdr:nvSpPr>
        <xdr:cNvPr id="193" name="Line 392"/>
        <xdr:cNvSpPr>
          <a:spLocks/>
        </xdr:cNvSpPr>
      </xdr:nvSpPr>
      <xdr:spPr>
        <a:xfrm flipV="1">
          <a:off x="6391275" y="17907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628650</xdr:colOff>
      <xdr:row>9</xdr:row>
      <xdr:rowOff>104775</xdr:rowOff>
    </xdr:from>
    <xdr:to>
      <xdr:col>18</xdr:col>
      <xdr:colOff>628650</xdr:colOff>
      <xdr:row>10</xdr:row>
      <xdr:rowOff>76200</xdr:rowOff>
    </xdr:to>
    <xdr:sp>
      <xdr:nvSpPr>
        <xdr:cNvPr id="194" name="Line 393"/>
        <xdr:cNvSpPr>
          <a:spLocks/>
        </xdr:cNvSpPr>
      </xdr:nvSpPr>
      <xdr:spPr>
        <a:xfrm flipV="1">
          <a:off x="6391275" y="1657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533400</xdr:colOff>
      <xdr:row>19</xdr:row>
      <xdr:rowOff>9525</xdr:rowOff>
    </xdr:from>
    <xdr:to>
      <xdr:col>17</xdr:col>
      <xdr:colOff>581025</xdr:colOff>
      <xdr:row>19</xdr:row>
      <xdr:rowOff>57150</xdr:rowOff>
    </xdr:to>
    <xdr:sp>
      <xdr:nvSpPr>
        <xdr:cNvPr id="195" name="Line 394"/>
        <xdr:cNvSpPr>
          <a:spLocks/>
        </xdr:cNvSpPr>
      </xdr:nvSpPr>
      <xdr:spPr>
        <a:xfrm flipH="1">
          <a:off x="6391275" y="32004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581025</xdr:colOff>
      <xdr:row>19</xdr:row>
      <xdr:rowOff>123825</xdr:rowOff>
    </xdr:from>
    <xdr:to>
      <xdr:col>18</xdr:col>
      <xdr:colOff>19050</xdr:colOff>
      <xdr:row>20</xdr:row>
      <xdr:rowOff>9525</xdr:rowOff>
    </xdr:to>
    <xdr:sp>
      <xdr:nvSpPr>
        <xdr:cNvPr id="196" name="Line 395"/>
        <xdr:cNvSpPr>
          <a:spLocks/>
        </xdr:cNvSpPr>
      </xdr:nvSpPr>
      <xdr:spPr>
        <a:xfrm flipV="1">
          <a:off x="6391275" y="33147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533400</xdr:colOff>
      <xdr:row>19</xdr:row>
      <xdr:rowOff>57150</xdr:rowOff>
    </xdr:from>
    <xdr:to>
      <xdr:col>18</xdr:col>
      <xdr:colOff>19050</xdr:colOff>
      <xdr:row>19</xdr:row>
      <xdr:rowOff>123825</xdr:rowOff>
    </xdr:to>
    <xdr:sp>
      <xdr:nvSpPr>
        <xdr:cNvPr id="197" name="Line 396"/>
        <xdr:cNvSpPr>
          <a:spLocks/>
        </xdr:cNvSpPr>
      </xdr:nvSpPr>
      <xdr:spPr>
        <a:xfrm>
          <a:off x="6391275" y="32480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123825</xdr:rowOff>
    </xdr:from>
    <xdr:to>
      <xdr:col>18</xdr:col>
      <xdr:colOff>228600</xdr:colOff>
      <xdr:row>17</xdr:row>
      <xdr:rowOff>123825</xdr:rowOff>
    </xdr:to>
    <xdr:sp>
      <xdr:nvSpPr>
        <xdr:cNvPr id="198" name="Line 397"/>
        <xdr:cNvSpPr>
          <a:spLocks/>
        </xdr:cNvSpPr>
      </xdr:nvSpPr>
      <xdr:spPr>
        <a:xfrm>
          <a:off x="6391275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47625</xdr:rowOff>
    </xdr:from>
    <xdr:to>
      <xdr:col>18</xdr:col>
      <xdr:colOff>228600</xdr:colOff>
      <xdr:row>21</xdr:row>
      <xdr:rowOff>47625</xdr:rowOff>
    </xdr:to>
    <xdr:sp>
      <xdr:nvSpPr>
        <xdr:cNvPr id="199" name="Line 398"/>
        <xdr:cNvSpPr>
          <a:spLocks/>
        </xdr:cNvSpPr>
      </xdr:nvSpPr>
      <xdr:spPr>
        <a:xfrm>
          <a:off x="63912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17</xdr:row>
      <xdr:rowOff>123825</xdr:rowOff>
    </xdr:from>
    <xdr:to>
      <xdr:col>18</xdr:col>
      <xdr:colOff>133350</xdr:colOff>
      <xdr:row>21</xdr:row>
      <xdr:rowOff>47625</xdr:rowOff>
    </xdr:to>
    <xdr:sp>
      <xdr:nvSpPr>
        <xdr:cNvPr id="200" name="Line 399"/>
        <xdr:cNvSpPr>
          <a:spLocks/>
        </xdr:cNvSpPr>
      </xdr:nvSpPr>
      <xdr:spPr>
        <a:xfrm>
          <a:off x="6391275" y="29908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342900</xdr:colOff>
      <xdr:row>20</xdr:row>
      <xdr:rowOff>38100</xdr:rowOff>
    </xdr:from>
    <xdr:to>
      <xdr:col>17</xdr:col>
      <xdr:colOff>342900</xdr:colOff>
      <xdr:row>21</xdr:row>
      <xdr:rowOff>0</xdr:rowOff>
    </xdr:to>
    <xdr:sp>
      <xdr:nvSpPr>
        <xdr:cNvPr id="201" name="Line 400"/>
        <xdr:cNvSpPr>
          <a:spLocks/>
        </xdr:cNvSpPr>
      </xdr:nvSpPr>
      <xdr:spPr>
        <a:xfrm>
          <a:off x="6391275" y="33909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342900</xdr:colOff>
      <xdr:row>21</xdr:row>
      <xdr:rowOff>47625</xdr:rowOff>
    </xdr:from>
    <xdr:to>
      <xdr:col>17</xdr:col>
      <xdr:colOff>342900</xdr:colOff>
      <xdr:row>22</xdr:row>
      <xdr:rowOff>104775</xdr:rowOff>
    </xdr:to>
    <xdr:sp>
      <xdr:nvSpPr>
        <xdr:cNvPr id="202" name="Line 401"/>
        <xdr:cNvSpPr>
          <a:spLocks/>
        </xdr:cNvSpPr>
      </xdr:nvSpPr>
      <xdr:spPr>
        <a:xfrm flipV="1">
          <a:off x="6391275" y="35623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342900</xdr:colOff>
      <xdr:row>21</xdr:row>
      <xdr:rowOff>0</xdr:rowOff>
    </xdr:from>
    <xdr:to>
      <xdr:col>17</xdr:col>
      <xdr:colOff>342900</xdr:colOff>
      <xdr:row>21</xdr:row>
      <xdr:rowOff>47625</xdr:rowOff>
    </xdr:to>
    <xdr:sp>
      <xdr:nvSpPr>
        <xdr:cNvPr id="203" name="Line 402"/>
        <xdr:cNvSpPr>
          <a:spLocks/>
        </xdr:cNvSpPr>
      </xdr:nvSpPr>
      <xdr:spPr>
        <a:xfrm flipV="1">
          <a:off x="6391275" y="35147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9" width="9.140625" style="160" customWidth="1"/>
    <col min="10" max="10" width="9.57421875" style="160" customWidth="1"/>
    <col min="11" max="11" width="9.140625" style="160" customWidth="1"/>
    <col min="12" max="16384" width="9.140625" style="161" customWidth="1"/>
  </cols>
  <sheetData>
    <row r="1" spans="1:10" ht="15.75">
      <c r="A1" s="158" t="s">
        <v>801</v>
      </c>
      <c r="B1" s="159"/>
      <c r="C1" s="159"/>
      <c r="D1" s="159"/>
      <c r="E1" s="159"/>
      <c r="F1" s="159"/>
      <c r="G1" s="159"/>
      <c r="H1" s="159"/>
      <c r="I1" s="159"/>
      <c r="J1" s="159"/>
    </row>
    <row r="3" ht="12.75">
      <c r="A3" s="162" t="s">
        <v>64</v>
      </c>
    </row>
    <row r="5" ht="12.75">
      <c r="A5" s="160" t="s">
        <v>802</v>
      </c>
    </row>
    <row r="6" ht="12.75">
      <c r="A6" s="160" t="s">
        <v>803</v>
      </c>
    </row>
    <row r="7" ht="12.75">
      <c r="A7" s="160" t="s">
        <v>804</v>
      </c>
    </row>
    <row r="9" spans="1:4" ht="12.75">
      <c r="A9" s="162" t="s">
        <v>807</v>
      </c>
      <c r="D9" s="160" t="s">
        <v>808</v>
      </c>
    </row>
    <row r="10" ht="12.75">
      <c r="A10" s="162"/>
    </row>
    <row r="11" spans="1:4" ht="12.75">
      <c r="A11" s="162" t="s">
        <v>809</v>
      </c>
      <c r="D11" s="160" t="s">
        <v>812</v>
      </c>
    </row>
    <row r="12" spans="1:10" ht="12.75">
      <c r="A12" s="162"/>
      <c r="J12" s="161"/>
    </row>
    <row r="13" spans="1:10" ht="12.75">
      <c r="A13" s="162" t="s">
        <v>810</v>
      </c>
      <c r="D13" s="160" t="s">
        <v>825</v>
      </c>
      <c r="J13" s="161"/>
    </row>
    <row r="14" spans="1:10" ht="12.75">
      <c r="A14" s="162"/>
      <c r="D14" s="160" t="s">
        <v>811</v>
      </c>
      <c r="J14" s="161"/>
    </row>
    <row r="15" spans="1:10" ht="12.75">
      <c r="A15" s="162"/>
      <c r="D15" s="160" t="s">
        <v>817</v>
      </c>
      <c r="J15" s="161"/>
    </row>
    <row r="16" spans="4:10" ht="12.75">
      <c r="D16" s="160" t="s">
        <v>818</v>
      </c>
      <c r="J16" s="175"/>
    </row>
    <row r="17" ht="12.75">
      <c r="J17" s="175"/>
    </row>
    <row r="18" ht="12.75">
      <c r="A18" s="160" t="s">
        <v>65</v>
      </c>
    </row>
    <row r="20" spans="1:10" ht="12.75">
      <c r="A20" s="163" t="s">
        <v>66</v>
      </c>
      <c r="B20" s="164"/>
      <c r="C20" s="165"/>
      <c r="D20" s="163" t="s">
        <v>67</v>
      </c>
      <c r="E20" s="166"/>
      <c r="F20" s="166"/>
      <c r="G20" s="166"/>
      <c r="H20" s="166"/>
      <c r="I20" s="166"/>
      <c r="J20" s="167"/>
    </row>
    <row r="21" spans="1:10" ht="12.75">
      <c r="A21" s="168" t="s">
        <v>68</v>
      </c>
      <c r="B21" s="169"/>
      <c r="C21" s="170"/>
      <c r="D21" s="168" t="s">
        <v>69</v>
      </c>
      <c r="E21" s="169"/>
      <c r="F21" s="169"/>
      <c r="G21" s="169"/>
      <c r="H21" s="169"/>
      <c r="I21" s="169"/>
      <c r="J21" s="170"/>
    </row>
    <row r="22" spans="1:10" ht="12.75">
      <c r="A22" s="171" t="s">
        <v>805</v>
      </c>
      <c r="B22" s="172"/>
      <c r="C22" s="173"/>
      <c r="D22" s="171" t="s">
        <v>806</v>
      </c>
      <c r="E22" s="172"/>
      <c r="F22" s="172"/>
      <c r="G22" s="172"/>
      <c r="H22" s="172"/>
      <c r="I22" s="172"/>
      <c r="J22" s="173"/>
    </row>
    <row r="23" spans="1:9" ht="12.75">
      <c r="A23" s="174"/>
      <c r="B23" s="174"/>
      <c r="C23" s="174"/>
      <c r="D23" s="174"/>
      <c r="E23" s="174"/>
      <c r="F23" s="174"/>
      <c r="G23" s="174"/>
      <c r="H23" s="174"/>
      <c r="I23" s="174"/>
    </row>
    <row r="24" spans="1:9" ht="12.75">
      <c r="A24" s="161" t="s">
        <v>830</v>
      </c>
      <c r="B24" s="174"/>
      <c r="C24" s="174"/>
      <c r="D24" s="174"/>
      <c r="E24" s="174"/>
      <c r="F24" s="174"/>
      <c r="G24" s="174"/>
      <c r="H24" s="174"/>
      <c r="I24" s="174"/>
    </row>
    <row r="25" spans="1:9" ht="12.75">
      <c r="A25" s="174"/>
      <c r="B25" s="174"/>
      <c r="C25" s="174"/>
      <c r="D25" s="174"/>
      <c r="E25" s="174"/>
      <c r="F25" s="174"/>
      <c r="G25" s="174"/>
      <c r="H25" s="174"/>
      <c r="I25" s="174"/>
    </row>
    <row r="26" ht="12.75">
      <c r="A26" s="162" t="s">
        <v>70</v>
      </c>
    </row>
    <row r="27" ht="12.75">
      <c r="J27" s="176"/>
    </row>
    <row r="28" spans="1:10" ht="12.75">
      <c r="A28" s="160" t="s">
        <v>76</v>
      </c>
      <c r="J28" s="176"/>
    </row>
    <row r="29" spans="1:10" ht="12.75">
      <c r="A29" s="160" t="s">
        <v>798</v>
      </c>
      <c r="J29" s="176"/>
    </row>
    <row r="30" spans="1:10" ht="12.75">
      <c r="A30" s="160" t="s">
        <v>819</v>
      </c>
      <c r="J30" s="176"/>
    </row>
    <row r="31" spans="1:10" ht="12.75">
      <c r="A31" s="160" t="s">
        <v>820</v>
      </c>
      <c r="J31" s="176"/>
    </row>
    <row r="32" spans="1:10" ht="12.75">
      <c r="A32" s="160" t="s">
        <v>821</v>
      </c>
      <c r="J32" s="176"/>
    </row>
    <row r="33" spans="1:10" ht="12.75">
      <c r="A33" s="160" t="s">
        <v>822</v>
      </c>
      <c r="J33" s="176"/>
    </row>
    <row r="34" spans="1:10" ht="12.75">
      <c r="A34" s="160" t="s">
        <v>75</v>
      </c>
      <c r="J34" s="176"/>
    </row>
    <row r="35" spans="1:10" ht="12.75">
      <c r="A35" s="160" t="s">
        <v>799</v>
      </c>
      <c r="C35" s="176"/>
      <c r="D35" s="176"/>
      <c r="E35" s="176"/>
      <c r="F35" s="176"/>
      <c r="G35" s="176"/>
      <c r="H35" s="176"/>
      <c r="I35" s="176"/>
      <c r="J35" s="176"/>
    </row>
    <row r="36" spans="1:10" ht="12.75">
      <c r="A36" s="160" t="s">
        <v>800</v>
      </c>
      <c r="C36" s="176"/>
      <c r="D36" s="176"/>
      <c r="E36" s="176"/>
      <c r="F36" s="176"/>
      <c r="G36" s="176"/>
      <c r="H36" s="176"/>
      <c r="I36" s="176"/>
      <c r="J36" s="176"/>
    </row>
    <row r="37" spans="1:10" ht="12.75">
      <c r="A37" s="160" t="s">
        <v>823</v>
      </c>
      <c r="C37" s="176"/>
      <c r="D37" s="176"/>
      <c r="E37" s="176"/>
      <c r="F37" s="176"/>
      <c r="G37" s="176"/>
      <c r="H37" s="176"/>
      <c r="I37" s="176"/>
      <c r="J37" s="176"/>
    </row>
    <row r="38" spans="1:10" ht="12.75">
      <c r="A38" s="160" t="s">
        <v>824</v>
      </c>
      <c r="C38" s="176"/>
      <c r="D38" s="176"/>
      <c r="E38" s="176"/>
      <c r="F38" s="176"/>
      <c r="G38" s="176"/>
      <c r="H38" s="176"/>
      <c r="I38" s="176"/>
      <c r="J38" s="176"/>
    </row>
    <row r="39" spans="1:10" ht="12.75">
      <c r="A39" s="160" t="s">
        <v>826</v>
      </c>
      <c r="G39" s="176"/>
      <c r="H39" s="176"/>
      <c r="I39" s="176"/>
      <c r="J39" s="176"/>
    </row>
    <row r="40" spans="1:10" ht="12.75">
      <c r="A40" s="160" t="s">
        <v>827</v>
      </c>
      <c r="G40" s="176"/>
      <c r="H40" s="176"/>
      <c r="I40" s="176"/>
      <c r="J40" s="176"/>
    </row>
    <row r="41" spans="1:10" ht="12.75">
      <c r="A41" s="160" t="s">
        <v>828</v>
      </c>
      <c r="C41" s="176"/>
      <c r="D41" s="176"/>
      <c r="E41" s="176"/>
      <c r="F41" s="176"/>
      <c r="G41" s="176"/>
      <c r="H41" s="176"/>
      <c r="I41" s="176"/>
      <c r="J41" s="176"/>
    </row>
    <row r="42" spans="1:10" ht="12.75">
      <c r="A42" s="160" t="s">
        <v>72</v>
      </c>
      <c r="B42" s="176"/>
      <c r="C42" s="176"/>
      <c r="D42" s="176"/>
      <c r="E42" s="176"/>
      <c r="F42" s="176"/>
      <c r="G42" s="176"/>
      <c r="H42" s="176"/>
      <c r="I42" s="176"/>
      <c r="J42" s="176"/>
    </row>
    <row r="43" spans="1:10" ht="12.75">
      <c r="A43" s="160" t="s">
        <v>73</v>
      </c>
      <c r="B43" s="176"/>
      <c r="C43" s="176"/>
      <c r="D43" s="176"/>
      <c r="E43" s="176"/>
      <c r="F43" s="176"/>
      <c r="G43" s="176"/>
      <c r="H43" s="176"/>
      <c r="I43" s="176"/>
      <c r="J43" s="176"/>
    </row>
    <row r="44" spans="1:10" ht="12.75">
      <c r="A44" s="160" t="s">
        <v>74</v>
      </c>
      <c r="B44" s="176"/>
      <c r="C44" s="176"/>
      <c r="D44" s="176"/>
      <c r="E44" s="176"/>
      <c r="F44" s="176"/>
      <c r="G44" s="176"/>
      <c r="H44" s="176"/>
      <c r="I44" s="176"/>
      <c r="J44" s="176"/>
    </row>
    <row r="45" spans="1:10" ht="12.75">
      <c r="A45" s="176"/>
      <c r="B45" s="176"/>
      <c r="C45" s="176"/>
      <c r="D45" s="176"/>
      <c r="E45" s="176"/>
      <c r="F45" s="176"/>
      <c r="G45" s="176"/>
      <c r="H45" s="176"/>
      <c r="I45" s="176"/>
      <c r="J45" s="176"/>
    </row>
    <row r="46" spans="2:10" ht="12.75">
      <c r="B46" s="176"/>
      <c r="C46" s="176"/>
      <c r="D46" s="176"/>
      <c r="E46" s="176"/>
      <c r="F46" s="176"/>
      <c r="G46" s="176"/>
      <c r="H46" s="176"/>
      <c r="I46" s="176"/>
      <c r="J46" s="176"/>
    </row>
    <row r="47" spans="2:10" ht="12.75">
      <c r="B47" s="176"/>
      <c r="C47" s="176"/>
      <c r="D47" s="176"/>
      <c r="E47" s="176"/>
      <c r="F47" s="176"/>
      <c r="G47" s="176"/>
      <c r="H47" s="176"/>
      <c r="I47" s="176"/>
      <c r="J47" s="176"/>
    </row>
    <row r="48" spans="2:10" ht="12.75">
      <c r="B48" s="176"/>
      <c r="C48" s="176"/>
      <c r="D48" s="176"/>
      <c r="E48" s="176"/>
      <c r="F48" s="176"/>
      <c r="G48" s="176"/>
      <c r="H48" s="176"/>
      <c r="I48" s="176"/>
      <c r="J48" s="176"/>
    </row>
    <row r="49" spans="2:10" ht="12.75">
      <c r="B49" s="176"/>
      <c r="C49" s="176"/>
      <c r="D49" s="176"/>
      <c r="E49" s="176"/>
      <c r="F49" s="176"/>
      <c r="G49" s="176"/>
      <c r="H49" s="176"/>
      <c r="I49" s="176"/>
      <c r="J49" s="176"/>
    </row>
    <row r="50" spans="1:10" ht="12.75">
      <c r="A50" s="176"/>
      <c r="B50" s="176"/>
      <c r="C50" s="176"/>
      <c r="D50" s="176"/>
      <c r="E50" s="176"/>
      <c r="F50" s="176"/>
      <c r="G50" s="176"/>
      <c r="H50" s="176"/>
      <c r="I50" s="176"/>
      <c r="J50" s="176"/>
    </row>
    <row r="51" spans="2:10" ht="12.75">
      <c r="B51" s="176"/>
      <c r="C51" s="176"/>
      <c r="D51" s="176"/>
      <c r="E51" s="176"/>
      <c r="F51" s="176"/>
      <c r="G51" s="176"/>
      <c r="H51" s="176"/>
      <c r="I51" s="176"/>
      <c r="J51" s="176"/>
    </row>
    <row r="52" spans="2:10" ht="12.75">
      <c r="B52" s="176"/>
      <c r="C52" s="176"/>
      <c r="D52" s="176"/>
      <c r="E52" s="176"/>
      <c r="F52" s="176"/>
      <c r="G52" s="176"/>
      <c r="H52" s="176"/>
      <c r="I52" s="176"/>
      <c r="J52" s="176"/>
    </row>
    <row r="53" spans="2:10" ht="12.75">
      <c r="B53" s="176"/>
      <c r="C53" s="176"/>
      <c r="D53" s="176"/>
      <c r="E53" s="176"/>
      <c r="F53" s="176"/>
      <c r="G53" s="176"/>
      <c r="H53" s="176"/>
      <c r="I53" s="176"/>
      <c r="J53" s="176"/>
    </row>
    <row r="54" spans="2:10" ht="12.75">
      <c r="B54" s="176"/>
      <c r="C54" s="176"/>
      <c r="D54" s="176"/>
      <c r="E54" s="176"/>
      <c r="F54" s="176"/>
      <c r="G54" s="176"/>
      <c r="H54" s="176"/>
      <c r="I54" s="176"/>
      <c r="J54" s="176"/>
    </row>
    <row r="55" spans="1:10" ht="12.75">
      <c r="A55" s="176"/>
      <c r="B55" s="176"/>
      <c r="C55" s="176"/>
      <c r="D55" s="176"/>
      <c r="E55" s="176"/>
      <c r="F55" s="176"/>
      <c r="G55" s="176"/>
      <c r="H55" s="176"/>
      <c r="I55" s="176"/>
      <c r="J55" s="176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6"/>
    </row>
    <row r="57" spans="1:10" ht="12.75">
      <c r="A57" s="176"/>
      <c r="B57" s="176"/>
      <c r="C57" s="176"/>
      <c r="D57" s="176"/>
      <c r="E57" s="176"/>
      <c r="F57" s="176"/>
      <c r="G57" s="176"/>
      <c r="H57" s="176"/>
      <c r="I57" s="176"/>
      <c r="J57" s="176"/>
    </row>
    <row r="58" spans="1:10" ht="12.75">
      <c r="A58" s="176"/>
      <c r="B58" s="176"/>
      <c r="C58" s="176"/>
      <c r="D58" s="176"/>
      <c r="E58" s="176"/>
      <c r="F58" s="176"/>
      <c r="G58" s="176"/>
      <c r="H58" s="176"/>
      <c r="I58" s="176"/>
      <c r="J58" s="176"/>
    </row>
    <row r="59" spans="1:10" ht="12.75">
      <c r="A59" s="176"/>
      <c r="B59" s="176"/>
      <c r="C59" s="176"/>
      <c r="D59" s="176"/>
      <c r="E59" s="176"/>
      <c r="F59" s="176"/>
      <c r="G59" s="176"/>
      <c r="H59" s="176"/>
      <c r="I59" s="176"/>
      <c r="J59" s="176"/>
    </row>
    <row r="60" spans="1:10" ht="12.75">
      <c r="A60" s="176"/>
      <c r="B60" s="176"/>
      <c r="C60" s="176"/>
      <c r="D60" s="176"/>
      <c r="E60" s="176"/>
      <c r="F60" s="176"/>
      <c r="G60" s="176"/>
      <c r="H60" s="176"/>
      <c r="I60" s="176"/>
      <c r="J60" s="176"/>
    </row>
    <row r="61" spans="1:10" ht="12.75">
      <c r="A61" s="176"/>
      <c r="B61" s="176"/>
      <c r="C61" s="176"/>
      <c r="D61" s="176"/>
      <c r="E61" s="176"/>
      <c r="F61" s="176"/>
      <c r="G61" s="176"/>
      <c r="H61" s="176"/>
      <c r="I61" s="176"/>
      <c r="J61" s="176"/>
    </row>
    <row r="62" spans="1:10" ht="12.75">
      <c r="A62" s="176"/>
      <c r="B62" s="176"/>
      <c r="C62" s="176"/>
      <c r="D62" s="176"/>
      <c r="E62" s="176"/>
      <c r="F62" s="176"/>
      <c r="G62" s="176"/>
      <c r="H62" s="176"/>
      <c r="I62" s="176"/>
      <c r="J62" s="176"/>
    </row>
    <row r="63" spans="1:10" ht="12.75">
      <c r="A63" s="176"/>
      <c r="B63" s="176"/>
      <c r="C63" s="176"/>
      <c r="D63" s="176"/>
      <c r="E63" s="176"/>
      <c r="F63" s="176"/>
      <c r="G63" s="176"/>
      <c r="H63" s="176"/>
      <c r="I63" s="176"/>
      <c r="J63" s="176"/>
    </row>
    <row r="64" spans="1:10" ht="12.75">
      <c r="A64" s="176"/>
      <c r="B64" s="176"/>
      <c r="C64" s="176"/>
      <c r="D64" s="176"/>
      <c r="E64" s="176"/>
      <c r="F64" s="176"/>
      <c r="G64" s="176"/>
      <c r="H64" s="176"/>
      <c r="I64" s="176"/>
      <c r="J64" s="176"/>
    </row>
    <row r="65" spans="1:10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</row>
    <row r="66" spans="1:10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</row>
    <row r="67" spans="1:10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</row>
    <row r="68" spans="1:10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</row>
    <row r="69" spans="1:10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</row>
    <row r="70" spans="1:9" ht="12.75">
      <c r="A70" s="176"/>
      <c r="B70" s="176"/>
      <c r="C70" s="176"/>
      <c r="D70" s="176"/>
      <c r="E70" s="176"/>
      <c r="F70" s="176"/>
      <c r="G70" s="176"/>
      <c r="H70" s="176"/>
      <c r="I70" s="176"/>
    </row>
    <row r="71" spans="1:9" ht="12.75">
      <c r="A71" s="176"/>
      <c r="B71" s="176"/>
      <c r="C71" s="176"/>
      <c r="D71" s="176"/>
      <c r="E71" s="176"/>
      <c r="F71" s="176"/>
      <c r="G71" s="176"/>
      <c r="H71" s="176"/>
      <c r="I71" s="176"/>
    </row>
    <row r="72" spans="1:9" ht="12.75">
      <c r="A72" s="176"/>
      <c r="B72" s="176"/>
      <c r="C72" s="176"/>
      <c r="D72" s="176"/>
      <c r="E72" s="176"/>
      <c r="F72" s="176"/>
      <c r="G72" s="176"/>
      <c r="H72" s="176"/>
      <c r="I72" s="176"/>
    </row>
    <row r="73" spans="1:9" ht="12.75">
      <c r="A73" s="176"/>
      <c r="B73" s="176"/>
      <c r="C73" s="176"/>
      <c r="D73" s="176"/>
      <c r="E73" s="176"/>
      <c r="F73" s="176"/>
      <c r="G73" s="176"/>
      <c r="H73" s="176"/>
      <c r="I73" s="176"/>
    </row>
    <row r="74" spans="1:9" ht="12.75">
      <c r="A74" s="176"/>
      <c r="B74" s="176"/>
      <c r="C74" s="176"/>
      <c r="D74" s="176"/>
      <c r="E74" s="176"/>
      <c r="F74" s="176"/>
      <c r="G74" s="176"/>
      <c r="H74" s="176"/>
      <c r="I74" s="176"/>
    </row>
    <row r="75" spans="1:9" ht="12.75">
      <c r="A75" s="176"/>
      <c r="B75" s="176"/>
      <c r="C75" s="176"/>
      <c r="D75" s="176"/>
      <c r="E75" s="176"/>
      <c r="F75" s="176"/>
      <c r="G75" s="176"/>
      <c r="H75" s="176"/>
      <c r="I75" s="176"/>
    </row>
  </sheetData>
  <sheetProtection sheet="1" objects="1" scenarios="1"/>
  <printOptions/>
  <pageMargins left="1" right="0.5" top="1" bottom="1" header="0.5" footer="0.5"/>
  <pageSetup horizontalDpi="600" verticalDpi="600" orientation="portrait" scale="9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F43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3.57421875" style="13" customWidth="1"/>
    <col min="2" max="10" width="9.140625" style="13" customWidth="1"/>
    <col min="11" max="11" width="14.8515625" style="13" hidden="1" customWidth="1"/>
    <col min="12" max="18" width="9.140625" style="13" hidden="1" customWidth="1"/>
    <col min="19" max="19" width="14.421875" style="13" hidden="1" customWidth="1"/>
    <col min="20" max="78" width="9.140625" style="13" hidden="1" customWidth="1"/>
    <col min="79" max="16384" width="9.140625" style="13" customWidth="1"/>
  </cols>
  <sheetData>
    <row r="1" spans="1:84" ht="15.75">
      <c r="A1" s="107" t="s">
        <v>796</v>
      </c>
      <c r="B1" s="127"/>
      <c r="C1" s="128"/>
      <c r="D1" s="128"/>
      <c r="E1" s="128"/>
      <c r="F1" s="128"/>
      <c r="G1" s="127"/>
      <c r="H1" s="127"/>
      <c r="I1" s="311"/>
      <c r="J1" s="386"/>
      <c r="K1" s="186"/>
      <c r="L1" s="2"/>
      <c r="M1" s="100"/>
      <c r="N1" s="100"/>
      <c r="O1" s="100"/>
      <c r="P1" s="100"/>
      <c r="Q1" s="2"/>
      <c r="R1" s="2"/>
      <c r="S1" s="2"/>
      <c r="T1" s="77"/>
      <c r="U1" s="135"/>
      <c r="V1" s="24"/>
      <c r="W1" s="25" t="s">
        <v>34</v>
      </c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CA1" s="291" t="s">
        <v>829</v>
      </c>
      <c r="CB1" s="46"/>
      <c r="CC1" s="46"/>
      <c r="CD1" s="46"/>
      <c r="CE1" s="46"/>
      <c r="CF1" s="46"/>
    </row>
    <row r="2" spans="1:84" ht="12.75">
      <c r="A2" s="16" t="s">
        <v>314</v>
      </c>
      <c r="B2" s="17"/>
      <c r="C2" s="17"/>
      <c r="D2" s="17"/>
      <c r="E2" s="17"/>
      <c r="F2" s="17"/>
      <c r="G2" s="17"/>
      <c r="H2" s="17"/>
      <c r="I2" s="312"/>
      <c r="J2" s="387"/>
      <c r="K2" s="98"/>
      <c r="L2" s="187"/>
      <c r="M2" s="187"/>
      <c r="N2" s="187"/>
      <c r="O2" s="187"/>
      <c r="P2" s="187"/>
      <c r="Q2" s="187"/>
      <c r="R2" s="187"/>
      <c r="S2" s="100"/>
      <c r="T2" s="313"/>
      <c r="U2" s="23"/>
      <c r="V2" s="24"/>
      <c r="W2" s="24"/>
      <c r="X2" s="36"/>
      <c r="Y2" s="24"/>
      <c r="Z2" s="181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32"/>
      <c r="AM2" s="32"/>
      <c r="AN2" s="32"/>
      <c r="AO2" s="32"/>
      <c r="AP2" s="32"/>
      <c r="CA2" s="46"/>
      <c r="CB2" s="46"/>
      <c r="CC2" s="46"/>
      <c r="CD2" s="46"/>
      <c r="CE2" s="46"/>
      <c r="CF2" s="46"/>
    </row>
    <row r="3" spans="1:84" ht="12.75">
      <c r="A3" s="136" t="s">
        <v>797</v>
      </c>
      <c r="B3" s="18"/>
      <c r="C3" s="18"/>
      <c r="D3" s="18"/>
      <c r="E3" s="18"/>
      <c r="F3" s="18"/>
      <c r="G3" s="18"/>
      <c r="H3" s="18"/>
      <c r="I3" s="312"/>
      <c r="J3" s="388"/>
      <c r="K3" s="98"/>
      <c r="L3" s="187"/>
      <c r="M3" s="187"/>
      <c r="N3" s="187"/>
      <c r="O3" s="187"/>
      <c r="P3" s="187"/>
      <c r="Q3" s="187"/>
      <c r="R3" s="187"/>
      <c r="S3" s="100"/>
      <c r="T3" s="32"/>
      <c r="U3" s="35">
        <v>36</v>
      </c>
      <c r="V3" s="24"/>
      <c r="W3" s="296" t="s">
        <v>751</v>
      </c>
      <c r="X3" s="24"/>
      <c r="Y3" s="29"/>
      <c r="Z3" s="24"/>
      <c r="AA3" s="24"/>
      <c r="AB3" s="24"/>
      <c r="AC3" s="24"/>
      <c r="AD3" s="24"/>
      <c r="AE3" s="24"/>
      <c r="AF3" s="26"/>
      <c r="AG3" s="26"/>
      <c r="AH3" s="26"/>
      <c r="AI3" s="137" t="s">
        <v>353</v>
      </c>
      <c r="AJ3" s="138"/>
      <c r="AK3" s="138"/>
      <c r="AL3" s="138"/>
      <c r="AM3" s="138"/>
      <c r="AN3" s="138"/>
      <c r="AO3" s="148"/>
      <c r="AP3" s="148"/>
      <c r="CA3" s="27" t="s">
        <v>344</v>
      </c>
      <c r="CD3" s="46"/>
      <c r="CE3" s="46"/>
      <c r="CF3" s="46"/>
    </row>
    <row r="4" spans="1:84" ht="14.25">
      <c r="A4" s="139" t="s">
        <v>12</v>
      </c>
      <c r="B4" s="140"/>
      <c r="C4" s="141"/>
      <c r="D4" s="141"/>
      <c r="E4" s="141"/>
      <c r="F4" s="95" t="s">
        <v>54</v>
      </c>
      <c r="G4" s="142"/>
      <c r="H4" s="142"/>
      <c r="I4" s="378"/>
      <c r="J4" s="389"/>
      <c r="K4" s="188"/>
      <c r="L4" s="305"/>
      <c r="M4" s="305"/>
      <c r="N4" s="305"/>
      <c r="O4" s="305"/>
      <c r="P4" s="7"/>
      <c r="Q4" s="22"/>
      <c r="R4" s="22"/>
      <c r="S4" s="22"/>
      <c r="T4" s="22"/>
      <c r="U4" s="35">
        <v>50</v>
      </c>
      <c r="V4" s="32"/>
      <c r="W4" s="59" t="s">
        <v>752</v>
      </c>
      <c r="X4" s="209">
        <f>IF(OR(LEFT($N$10,2)="MC",LEFT($N$10,1)="C"),$L$21/$L$22,$L$21/(2*$L$22))</f>
        <v>7.986111111111112</v>
      </c>
      <c r="Y4" s="209"/>
      <c r="Z4" s="24"/>
      <c r="AA4" s="24"/>
      <c r="AB4" s="24"/>
      <c r="AC4" s="24"/>
      <c r="AD4" s="32"/>
      <c r="AE4" s="32"/>
      <c r="AF4" s="79"/>
      <c r="AG4" s="79"/>
      <c r="AH4" s="79"/>
      <c r="AI4" s="143" t="s">
        <v>354</v>
      </c>
      <c r="AJ4" s="144"/>
      <c r="AK4" s="144"/>
      <c r="AL4" s="144"/>
      <c r="AM4" s="144"/>
      <c r="AN4" s="144"/>
      <c r="AO4" s="149"/>
      <c r="AP4" s="149"/>
      <c r="AR4" s="315" t="s">
        <v>10</v>
      </c>
      <c r="AS4" s="316" t="s">
        <v>100</v>
      </c>
      <c r="AT4" s="316" t="s">
        <v>101</v>
      </c>
      <c r="AU4" s="316" t="s">
        <v>102</v>
      </c>
      <c r="AV4" s="316" t="s">
        <v>103</v>
      </c>
      <c r="AW4" s="316" t="s">
        <v>251</v>
      </c>
      <c r="AX4" s="150" t="s">
        <v>104</v>
      </c>
      <c r="AY4" s="315" t="s">
        <v>105</v>
      </c>
      <c r="AZ4" s="316" t="s">
        <v>106</v>
      </c>
      <c r="BA4" s="316" t="s">
        <v>107</v>
      </c>
      <c r="BB4" s="316" t="s">
        <v>108</v>
      </c>
      <c r="BC4" s="316" t="s">
        <v>109</v>
      </c>
      <c r="BD4" s="316" t="s">
        <v>110</v>
      </c>
      <c r="BE4" s="150" t="s">
        <v>111</v>
      </c>
      <c r="BF4" s="315" t="s">
        <v>112</v>
      </c>
      <c r="BG4" s="316" t="s">
        <v>113</v>
      </c>
      <c r="BH4" s="316" t="s">
        <v>114</v>
      </c>
      <c r="BI4" s="316" t="s">
        <v>115</v>
      </c>
      <c r="BJ4" s="316" t="s">
        <v>116</v>
      </c>
      <c r="BK4" s="316" t="s">
        <v>117</v>
      </c>
      <c r="BL4" s="150" t="s">
        <v>118</v>
      </c>
      <c r="BM4" s="315" t="s">
        <v>119</v>
      </c>
      <c r="BN4" s="316" t="s">
        <v>120</v>
      </c>
      <c r="BO4" s="316" t="s">
        <v>121</v>
      </c>
      <c r="BP4" s="316" t="s">
        <v>122</v>
      </c>
      <c r="BQ4" s="316" t="s">
        <v>123</v>
      </c>
      <c r="BR4" s="316" t="s">
        <v>124</v>
      </c>
      <c r="BS4" s="150" t="s">
        <v>125</v>
      </c>
      <c r="CA4" s="30" t="s">
        <v>345</v>
      </c>
      <c r="CB4" s="31" t="s">
        <v>20</v>
      </c>
      <c r="CD4" s="46"/>
      <c r="CE4" s="46"/>
      <c r="CF4" s="292" t="s">
        <v>346</v>
      </c>
    </row>
    <row r="5" spans="1:84" ht="12.75">
      <c r="A5" s="139" t="s">
        <v>41</v>
      </c>
      <c r="B5" s="145"/>
      <c r="C5" s="146"/>
      <c r="D5" s="146"/>
      <c r="E5" s="146"/>
      <c r="F5" s="95" t="s">
        <v>55</v>
      </c>
      <c r="G5" s="147"/>
      <c r="H5" s="95" t="s">
        <v>56</v>
      </c>
      <c r="I5" s="379"/>
      <c r="J5" s="389"/>
      <c r="K5" s="188"/>
      <c r="L5" s="305"/>
      <c r="M5" s="305"/>
      <c r="N5" s="305"/>
      <c r="O5" s="305"/>
      <c r="P5" s="7"/>
      <c r="Q5" s="22"/>
      <c r="R5" s="7"/>
      <c r="S5" s="2"/>
      <c r="T5" s="22"/>
      <c r="U5" s="35" t="s">
        <v>21</v>
      </c>
      <c r="V5" s="41"/>
      <c r="W5" s="42" t="s">
        <v>753</v>
      </c>
      <c r="X5" s="209">
        <f>IF(OR(LEFT($N$10,2)="MC",LEFT($N$10,1)="C"),($L$19-2*$L$23)/$L$20,($L$19-2*$L$23)/$L$20)</f>
        <v>37</v>
      </c>
      <c r="Y5" s="209"/>
      <c r="Z5" s="24"/>
      <c r="AA5" s="24"/>
      <c r="AB5" s="24"/>
      <c r="AC5" s="24"/>
      <c r="AD5" s="32"/>
      <c r="AE5" s="32"/>
      <c r="AF5" s="79"/>
      <c r="AG5" s="79"/>
      <c r="AH5" s="79"/>
      <c r="AI5" s="315" t="s">
        <v>10</v>
      </c>
      <c r="AJ5" s="316" t="s">
        <v>3</v>
      </c>
      <c r="AK5" s="316" t="s">
        <v>4</v>
      </c>
      <c r="AL5" s="316" t="s">
        <v>5</v>
      </c>
      <c r="AM5" s="316" t="s">
        <v>6</v>
      </c>
      <c r="AN5" s="316" t="s">
        <v>7</v>
      </c>
      <c r="AO5" s="150" t="s">
        <v>18</v>
      </c>
      <c r="AP5" s="150" t="s">
        <v>355</v>
      </c>
      <c r="AQ5" s="13">
        <v>1</v>
      </c>
      <c r="AR5" s="318" t="s">
        <v>126</v>
      </c>
      <c r="AS5" s="319">
        <v>57.2</v>
      </c>
      <c r="AT5" s="179">
        <v>16.8</v>
      </c>
      <c r="AU5" s="179">
        <v>8</v>
      </c>
      <c r="AV5" s="179">
        <v>8</v>
      </c>
      <c r="AW5" s="179">
        <v>1.125</v>
      </c>
      <c r="AX5" s="320">
        <v>1.75</v>
      </c>
      <c r="AY5" s="318">
        <v>1.75</v>
      </c>
      <c r="AZ5" s="319">
        <v>2.4</v>
      </c>
      <c r="BA5" s="179">
        <v>2.4</v>
      </c>
      <c r="BB5" s="179">
        <v>1.05</v>
      </c>
      <c r="BC5" s="179">
        <v>1.05</v>
      </c>
      <c r="BD5" s="179">
        <v>98.1</v>
      </c>
      <c r="BE5" s="320">
        <v>31.6</v>
      </c>
      <c r="BF5" s="318">
        <v>17.5</v>
      </c>
      <c r="BG5" s="319">
        <v>2.41</v>
      </c>
      <c r="BH5" s="179">
        <v>98.1</v>
      </c>
      <c r="BI5" s="179">
        <v>31.6</v>
      </c>
      <c r="BJ5" s="179">
        <v>17.5</v>
      </c>
      <c r="BK5" s="179">
        <v>2.41</v>
      </c>
      <c r="BL5" s="320">
        <v>1.56</v>
      </c>
      <c r="BM5" s="318">
        <v>7.13</v>
      </c>
      <c r="BN5" s="319">
        <v>32.5</v>
      </c>
      <c r="BO5" s="179">
        <v>4.29</v>
      </c>
      <c r="BP5" s="179">
        <v>0.633</v>
      </c>
      <c r="BQ5" s="179">
        <v>1</v>
      </c>
      <c r="BR5" s="179">
        <v>1</v>
      </c>
      <c r="BS5" s="320">
        <v>0</v>
      </c>
      <c r="CA5" s="27" t="s">
        <v>347</v>
      </c>
      <c r="CD5" s="46"/>
      <c r="CE5" s="46"/>
      <c r="CF5" s="46"/>
    </row>
    <row r="6" spans="1:84" ht="12.75">
      <c r="A6" s="19"/>
      <c r="B6" s="14"/>
      <c r="C6" s="14"/>
      <c r="D6" s="14"/>
      <c r="E6" s="14"/>
      <c r="F6" s="14"/>
      <c r="G6" s="14"/>
      <c r="H6" s="14"/>
      <c r="I6" s="14"/>
      <c r="J6" s="15"/>
      <c r="K6" s="54"/>
      <c r="L6" s="22"/>
      <c r="M6" s="22"/>
      <c r="N6" s="22"/>
      <c r="O6" s="22"/>
      <c r="P6" s="22"/>
      <c r="Q6" s="21"/>
      <c r="R6" s="21"/>
      <c r="S6" s="321"/>
      <c r="T6" s="32"/>
      <c r="U6" s="35" t="s">
        <v>49</v>
      </c>
      <c r="V6" s="41"/>
      <c r="W6" s="59" t="s">
        <v>754</v>
      </c>
      <c r="X6" s="209">
        <f>0.38*SQRT(29000/$N$15)</f>
        <v>9.151611879882145</v>
      </c>
      <c r="Y6" s="29"/>
      <c r="Z6" s="209"/>
      <c r="AA6" s="24"/>
      <c r="AB6" s="24"/>
      <c r="AC6" s="24"/>
      <c r="AD6" s="32"/>
      <c r="AE6" s="32"/>
      <c r="AF6" s="79"/>
      <c r="AG6" s="79"/>
      <c r="AH6" s="79"/>
      <c r="AI6" s="322" t="s">
        <v>356</v>
      </c>
      <c r="AJ6" s="323">
        <v>44</v>
      </c>
      <c r="AK6" s="324">
        <v>1.03</v>
      </c>
      <c r="AL6" s="323">
        <v>15.9</v>
      </c>
      <c r="AM6" s="324">
        <v>1.77</v>
      </c>
      <c r="AN6" s="324">
        <v>2.56</v>
      </c>
      <c r="AO6" s="325">
        <v>1410</v>
      </c>
      <c r="AP6" s="325">
        <v>1620</v>
      </c>
      <c r="AQ6" s="13">
        <v>2</v>
      </c>
      <c r="AR6" s="318" t="s">
        <v>127</v>
      </c>
      <c r="AS6" s="319">
        <v>51.3</v>
      </c>
      <c r="AT6" s="179">
        <v>15.1</v>
      </c>
      <c r="AU6" s="179">
        <v>8</v>
      </c>
      <c r="AV6" s="179">
        <v>8</v>
      </c>
      <c r="AW6" s="179">
        <v>1</v>
      </c>
      <c r="AX6" s="320">
        <v>1.625</v>
      </c>
      <c r="AY6" s="318">
        <v>1.625</v>
      </c>
      <c r="AZ6" s="319">
        <v>2.36</v>
      </c>
      <c r="BA6" s="179">
        <v>2.36</v>
      </c>
      <c r="BB6" s="179">
        <v>0.943</v>
      </c>
      <c r="BC6" s="179">
        <v>0.943</v>
      </c>
      <c r="BD6" s="179">
        <v>89.1</v>
      </c>
      <c r="BE6" s="320">
        <v>28.5</v>
      </c>
      <c r="BF6" s="318">
        <v>15.8</v>
      </c>
      <c r="BG6" s="319">
        <v>2.43</v>
      </c>
      <c r="BH6" s="179">
        <v>89.1</v>
      </c>
      <c r="BI6" s="179">
        <v>28.5</v>
      </c>
      <c r="BJ6" s="179">
        <v>15.8</v>
      </c>
      <c r="BK6" s="179">
        <v>2.43</v>
      </c>
      <c r="BL6" s="320">
        <v>1.56</v>
      </c>
      <c r="BM6" s="318">
        <v>5.08</v>
      </c>
      <c r="BN6" s="319">
        <v>23.4</v>
      </c>
      <c r="BO6" s="179">
        <v>4.32</v>
      </c>
      <c r="BP6" s="179">
        <v>0.63</v>
      </c>
      <c r="BQ6" s="179">
        <v>1</v>
      </c>
      <c r="BR6" s="179">
        <v>1</v>
      </c>
      <c r="BS6" s="320">
        <v>0</v>
      </c>
      <c r="CA6" s="30">
        <v>32</v>
      </c>
      <c r="CB6" s="46" t="s">
        <v>348</v>
      </c>
      <c r="CC6" s="46"/>
      <c r="CD6" s="46"/>
      <c r="CE6" s="46"/>
      <c r="CF6" s="293">
        <f>IF(B35="N/A","N/A",B35/F28)</f>
        <v>0.8301078912473433</v>
      </c>
    </row>
    <row r="7" spans="1:84" ht="14.25">
      <c r="A7" s="52" t="s">
        <v>42</v>
      </c>
      <c r="B7" s="14"/>
      <c r="C7" s="14"/>
      <c r="D7" s="14"/>
      <c r="E7" s="14"/>
      <c r="F7" s="14"/>
      <c r="G7" s="14"/>
      <c r="H7" s="14"/>
      <c r="I7" s="14"/>
      <c r="J7" s="15"/>
      <c r="K7" s="52"/>
      <c r="L7" s="22"/>
      <c r="M7" s="22"/>
      <c r="N7" s="22"/>
      <c r="O7" s="21"/>
      <c r="P7" s="22"/>
      <c r="Q7" s="21"/>
      <c r="R7" s="21"/>
      <c r="S7" s="326"/>
      <c r="T7" s="32"/>
      <c r="U7" s="196">
        <v>0.125</v>
      </c>
      <c r="V7" s="41"/>
      <c r="W7" s="59" t="s">
        <v>755</v>
      </c>
      <c r="X7" s="209">
        <f>1*SQRT(29000/$N$15)</f>
        <v>24.08318915758459</v>
      </c>
      <c r="Y7" s="29"/>
      <c r="Z7" s="209"/>
      <c r="AA7" s="24"/>
      <c r="AB7" s="24"/>
      <c r="AC7" s="24"/>
      <c r="AD7" s="32"/>
      <c r="AE7" s="32"/>
      <c r="AF7" s="79"/>
      <c r="AG7" s="79"/>
      <c r="AH7" s="79"/>
      <c r="AI7" s="327" t="s">
        <v>357</v>
      </c>
      <c r="AJ7" s="328">
        <v>43.6</v>
      </c>
      <c r="AK7" s="329">
        <v>0.865</v>
      </c>
      <c r="AL7" s="328">
        <v>15.8</v>
      </c>
      <c r="AM7" s="330">
        <v>1.58</v>
      </c>
      <c r="AN7" s="330">
        <v>2.36</v>
      </c>
      <c r="AO7" s="331">
        <v>1240</v>
      </c>
      <c r="AP7" s="331">
        <v>1410</v>
      </c>
      <c r="AQ7" s="13">
        <v>3</v>
      </c>
      <c r="AR7" s="318" t="s">
        <v>128</v>
      </c>
      <c r="AS7" s="319">
        <v>45.3</v>
      </c>
      <c r="AT7" s="179">
        <v>13.3</v>
      </c>
      <c r="AU7" s="179">
        <v>8</v>
      </c>
      <c r="AV7" s="179">
        <v>8</v>
      </c>
      <c r="AW7" s="179">
        <v>0.875</v>
      </c>
      <c r="AX7" s="320">
        <v>1.5</v>
      </c>
      <c r="AY7" s="318">
        <v>1.5</v>
      </c>
      <c r="AZ7" s="319">
        <v>2.31</v>
      </c>
      <c r="BA7" s="179">
        <v>2.31</v>
      </c>
      <c r="BB7" s="179">
        <v>0.832</v>
      </c>
      <c r="BC7" s="179">
        <v>0.832</v>
      </c>
      <c r="BD7" s="179">
        <v>79.7</v>
      </c>
      <c r="BE7" s="320">
        <v>25.3</v>
      </c>
      <c r="BF7" s="318">
        <v>14</v>
      </c>
      <c r="BG7" s="319">
        <v>2.45</v>
      </c>
      <c r="BH7" s="179">
        <v>79.7</v>
      </c>
      <c r="BI7" s="179">
        <v>25.3</v>
      </c>
      <c r="BJ7" s="179">
        <v>14</v>
      </c>
      <c r="BK7" s="179">
        <v>2.45</v>
      </c>
      <c r="BL7" s="320">
        <v>1.57</v>
      </c>
      <c r="BM7" s="318">
        <v>3.46</v>
      </c>
      <c r="BN7" s="319">
        <v>16.1</v>
      </c>
      <c r="BO7" s="179">
        <v>4.36</v>
      </c>
      <c r="BP7" s="179">
        <v>0.631</v>
      </c>
      <c r="BQ7" s="179">
        <v>1</v>
      </c>
      <c r="BR7" s="179">
        <v>1</v>
      </c>
      <c r="BS7" s="320">
        <v>0</v>
      </c>
      <c r="CA7" s="27" t="s">
        <v>794</v>
      </c>
      <c r="CB7" s="294"/>
      <c r="CC7" s="294"/>
      <c r="CD7" s="46"/>
      <c r="CE7" s="46"/>
      <c r="CF7" s="295"/>
    </row>
    <row r="8" spans="1:84" ht="12.75">
      <c r="A8" s="19"/>
      <c r="B8" s="14"/>
      <c r="C8" s="14"/>
      <c r="D8" s="14"/>
      <c r="E8" s="14"/>
      <c r="F8" s="14"/>
      <c r="G8" s="14"/>
      <c r="H8" s="14"/>
      <c r="I8" s="14"/>
      <c r="J8" s="15"/>
      <c r="K8" s="19"/>
      <c r="L8" s="22"/>
      <c r="M8" s="22"/>
      <c r="N8" s="22"/>
      <c r="O8" s="22"/>
      <c r="P8" s="20"/>
      <c r="Q8" s="21"/>
      <c r="R8" s="332"/>
      <c r="S8" s="21"/>
      <c r="T8" s="32"/>
      <c r="U8" s="196">
        <v>0.1875</v>
      </c>
      <c r="V8" s="41"/>
      <c r="W8" s="59" t="s">
        <v>756</v>
      </c>
      <c r="X8" s="209">
        <f>3.76*SQRT(29000/$N$15)</f>
        <v>90.55279123251806</v>
      </c>
      <c r="Y8" s="29"/>
      <c r="Z8" s="209"/>
      <c r="AA8" s="24"/>
      <c r="AB8" s="24"/>
      <c r="AC8" s="24"/>
      <c r="AD8" s="32"/>
      <c r="AE8" s="32"/>
      <c r="AF8" s="79"/>
      <c r="AG8" s="79"/>
      <c r="AH8" s="79"/>
      <c r="AI8" s="327" t="s">
        <v>358</v>
      </c>
      <c r="AJ8" s="328">
        <v>43.3</v>
      </c>
      <c r="AK8" s="329">
        <v>0.785</v>
      </c>
      <c r="AL8" s="328">
        <v>15.8</v>
      </c>
      <c r="AM8" s="330">
        <v>1.42</v>
      </c>
      <c r="AN8" s="330">
        <v>2.2</v>
      </c>
      <c r="AO8" s="331">
        <v>1110</v>
      </c>
      <c r="AP8" s="331">
        <v>1270</v>
      </c>
      <c r="AQ8" s="13">
        <v>4</v>
      </c>
      <c r="AR8" s="318" t="s">
        <v>129</v>
      </c>
      <c r="AS8" s="319">
        <v>39.2</v>
      </c>
      <c r="AT8" s="179">
        <v>11.5</v>
      </c>
      <c r="AU8" s="179">
        <v>8</v>
      </c>
      <c r="AV8" s="179">
        <v>8</v>
      </c>
      <c r="AW8" s="179">
        <v>0.75</v>
      </c>
      <c r="AX8" s="320">
        <v>1.375</v>
      </c>
      <c r="AY8" s="318">
        <v>1.375</v>
      </c>
      <c r="AZ8" s="319">
        <v>2.26</v>
      </c>
      <c r="BA8" s="179">
        <v>2.26</v>
      </c>
      <c r="BB8" s="179">
        <v>0.72</v>
      </c>
      <c r="BC8" s="179">
        <v>0.72</v>
      </c>
      <c r="BD8" s="179">
        <v>69.9</v>
      </c>
      <c r="BE8" s="320">
        <v>22</v>
      </c>
      <c r="BF8" s="318">
        <v>12.2</v>
      </c>
      <c r="BG8" s="319">
        <v>2.46</v>
      </c>
      <c r="BH8" s="179">
        <v>69.9</v>
      </c>
      <c r="BI8" s="179">
        <v>22</v>
      </c>
      <c r="BJ8" s="179">
        <v>12.2</v>
      </c>
      <c r="BK8" s="179">
        <v>2.46</v>
      </c>
      <c r="BL8" s="320">
        <v>1.57</v>
      </c>
      <c r="BM8" s="318">
        <v>2.21</v>
      </c>
      <c r="BN8" s="319">
        <v>10.4</v>
      </c>
      <c r="BO8" s="179">
        <v>4.39</v>
      </c>
      <c r="BP8" s="179">
        <v>0.631</v>
      </c>
      <c r="BQ8" s="179">
        <v>1</v>
      </c>
      <c r="BR8" s="179">
        <v>1</v>
      </c>
      <c r="BS8" s="320">
        <v>0</v>
      </c>
      <c r="CA8" s="30">
        <v>45</v>
      </c>
      <c r="CB8" s="46" t="s">
        <v>792</v>
      </c>
      <c r="CC8" s="46"/>
      <c r="CD8" s="46"/>
      <c r="CE8" s="46"/>
      <c r="CF8" s="293">
        <f>C17/B47</f>
        <v>0.1951587692307692</v>
      </c>
    </row>
    <row r="9" spans="1:84" ht="14.25">
      <c r="A9" s="52" t="s">
        <v>57</v>
      </c>
      <c r="B9" s="14"/>
      <c r="C9" s="14"/>
      <c r="D9" s="14"/>
      <c r="E9" s="14"/>
      <c r="F9" s="14"/>
      <c r="G9" s="14"/>
      <c r="H9" s="14"/>
      <c r="I9" s="14"/>
      <c r="J9" s="15"/>
      <c r="K9" s="52" t="s">
        <v>57</v>
      </c>
      <c r="L9" s="39"/>
      <c r="M9" s="39"/>
      <c r="N9" s="39"/>
      <c r="O9" s="2"/>
      <c r="P9" s="1"/>
      <c r="Q9" s="185" t="s">
        <v>95</v>
      </c>
      <c r="R9" s="7"/>
      <c r="S9" s="135" t="s">
        <v>81</v>
      </c>
      <c r="T9" s="32"/>
      <c r="U9" s="196">
        <v>0.25</v>
      </c>
      <c r="V9" s="41"/>
      <c r="W9" s="59" t="s">
        <v>757</v>
      </c>
      <c r="X9" s="209">
        <f>5.7*SQRT(29000/$N$15)</f>
        <v>137.27417819823216</v>
      </c>
      <c r="Y9" s="29"/>
      <c r="Z9" s="209"/>
      <c r="AA9" s="24"/>
      <c r="AB9" s="24"/>
      <c r="AC9" s="24"/>
      <c r="AD9" s="32"/>
      <c r="AE9" s="32"/>
      <c r="AF9" s="79"/>
      <c r="AG9" s="79"/>
      <c r="AH9" s="79"/>
      <c r="AI9" s="327" t="s">
        <v>359</v>
      </c>
      <c r="AJ9" s="328">
        <v>42.9</v>
      </c>
      <c r="AK9" s="329">
        <v>0.71</v>
      </c>
      <c r="AL9" s="328">
        <v>15.8</v>
      </c>
      <c r="AM9" s="330">
        <v>1.22</v>
      </c>
      <c r="AN9" s="330">
        <v>2.01</v>
      </c>
      <c r="AO9" s="331">
        <v>971</v>
      </c>
      <c r="AP9" s="331">
        <v>1100</v>
      </c>
      <c r="AQ9" s="13">
        <v>5</v>
      </c>
      <c r="AR9" s="318" t="s">
        <v>130</v>
      </c>
      <c r="AS9" s="319">
        <v>33</v>
      </c>
      <c r="AT9" s="179">
        <v>9.69</v>
      </c>
      <c r="AU9" s="179">
        <v>8</v>
      </c>
      <c r="AV9" s="179">
        <v>8</v>
      </c>
      <c r="AW9" s="179">
        <v>0.625</v>
      </c>
      <c r="AX9" s="320">
        <v>1.25</v>
      </c>
      <c r="AY9" s="318">
        <v>1.25</v>
      </c>
      <c r="AZ9" s="319">
        <v>2.21</v>
      </c>
      <c r="BA9" s="179">
        <v>2.21</v>
      </c>
      <c r="BB9" s="179">
        <v>0.606</v>
      </c>
      <c r="BC9" s="179">
        <v>0.606</v>
      </c>
      <c r="BD9" s="179">
        <v>59.6</v>
      </c>
      <c r="BE9" s="320">
        <v>18.6</v>
      </c>
      <c r="BF9" s="318">
        <v>10.3</v>
      </c>
      <c r="BG9" s="319">
        <v>2.48</v>
      </c>
      <c r="BH9" s="179">
        <v>59.6</v>
      </c>
      <c r="BI9" s="179">
        <v>18.6</v>
      </c>
      <c r="BJ9" s="179">
        <v>10.3</v>
      </c>
      <c r="BK9" s="179">
        <v>2.48</v>
      </c>
      <c r="BL9" s="320">
        <v>1.58</v>
      </c>
      <c r="BM9" s="318">
        <v>1.3</v>
      </c>
      <c r="BN9" s="319">
        <v>6.16</v>
      </c>
      <c r="BO9" s="179">
        <v>4.41</v>
      </c>
      <c r="BP9" s="179">
        <v>0.631</v>
      </c>
      <c r="BQ9" s="179">
        <v>1</v>
      </c>
      <c r="BR9" s="179">
        <v>0.9972513022736579</v>
      </c>
      <c r="BS9" s="320">
        <v>0</v>
      </c>
      <c r="CA9" s="27" t="s">
        <v>793</v>
      </c>
      <c r="CB9" s="294"/>
      <c r="CC9" s="294"/>
      <c r="CD9" s="46"/>
      <c r="CE9" s="46"/>
      <c r="CF9" s="295"/>
    </row>
    <row r="10" spans="1:84" ht="12.75">
      <c r="A10" s="54" t="s">
        <v>22</v>
      </c>
      <c r="B10" s="395" t="s">
        <v>596</v>
      </c>
      <c r="C10" s="396"/>
      <c r="D10" s="14"/>
      <c r="E10" s="14"/>
      <c r="F10" s="14"/>
      <c r="G10" s="14"/>
      <c r="H10" s="14"/>
      <c r="I10" s="14"/>
      <c r="J10" s="15"/>
      <c r="K10" s="58"/>
      <c r="L10" s="39"/>
      <c r="M10" s="47" t="s">
        <v>22</v>
      </c>
      <c r="N10" s="6" t="str">
        <f>B10</f>
        <v>W10X22</v>
      </c>
      <c r="O10" s="20"/>
      <c r="P10" s="73"/>
      <c r="Q10" s="39"/>
      <c r="R10" s="39"/>
      <c r="S10" s="39"/>
      <c r="T10" s="23"/>
      <c r="U10" s="196">
        <v>0.3125</v>
      </c>
      <c r="V10" s="41"/>
      <c r="W10" s="24"/>
      <c r="X10" s="24"/>
      <c r="Y10" s="29"/>
      <c r="Z10" s="24"/>
      <c r="AA10" s="24"/>
      <c r="AB10" s="24"/>
      <c r="AC10" s="24"/>
      <c r="AD10" s="32"/>
      <c r="AE10" s="32"/>
      <c r="AF10" s="79"/>
      <c r="AG10" s="79"/>
      <c r="AH10" s="79"/>
      <c r="AI10" s="327" t="s">
        <v>360</v>
      </c>
      <c r="AJ10" s="328">
        <v>43</v>
      </c>
      <c r="AK10" s="330">
        <v>1.79</v>
      </c>
      <c r="AL10" s="328">
        <v>16.7</v>
      </c>
      <c r="AM10" s="330">
        <v>3.23</v>
      </c>
      <c r="AN10" s="330">
        <v>4.41</v>
      </c>
      <c r="AO10" s="331">
        <v>2340</v>
      </c>
      <c r="AP10" s="331">
        <v>2760</v>
      </c>
      <c r="AQ10" s="13">
        <v>6</v>
      </c>
      <c r="AR10" s="318" t="s">
        <v>131</v>
      </c>
      <c r="AS10" s="319">
        <v>29.8</v>
      </c>
      <c r="AT10" s="179">
        <v>8.77</v>
      </c>
      <c r="AU10" s="179">
        <v>8</v>
      </c>
      <c r="AV10" s="179">
        <v>8</v>
      </c>
      <c r="AW10" s="179">
        <v>0.5625</v>
      </c>
      <c r="AX10" s="320">
        <v>1.1875</v>
      </c>
      <c r="AY10" s="318">
        <v>1.1875</v>
      </c>
      <c r="AZ10" s="319">
        <v>2.19</v>
      </c>
      <c r="BA10" s="179">
        <v>2.19</v>
      </c>
      <c r="BB10" s="179">
        <v>0.548</v>
      </c>
      <c r="BC10" s="179">
        <v>0.548</v>
      </c>
      <c r="BD10" s="179">
        <v>54.2</v>
      </c>
      <c r="BE10" s="320">
        <v>16.8</v>
      </c>
      <c r="BF10" s="318">
        <v>9.33</v>
      </c>
      <c r="BG10" s="319">
        <v>2.49</v>
      </c>
      <c r="BH10" s="179">
        <v>54.2</v>
      </c>
      <c r="BI10" s="179">
        <v>16.8</v>
      </c>
      <c r="BJ10" s="179">
        <v>9.33</v>
      </c>
      <c r="BK10" s="179">
        <v>2.49</v>
      </c>
      <c r="BL10" s="320">
        <v>1.58</v>
      </c>
      <c r="BM10" s="318">
        <v>0.961</v>
      </c>
      <c r="BN10" s="319">
        <v>4.55</v>
      </c>
      <c r="BO10" s="179">
        <v>4.43</v>
      </c>
      <c r="BP10" s="179">
        <v>0.629</v>
      </c>
      <c r="BQ10" s="179">
        <v>1</v>
      </c>
      <c r="BR10" s="179">
        <v>0.9591681136373977</v>
      </c>
      <c r="BS10" s="320">
        <v>0</v>
      </c>
      <c r="CA10" s="30">
        <v>68</v>
      </c>
      <c r="CB10" s="46" t="s">
        <v>792</v>
      </c>
      <c r="CC10" s="46"/>
      <c r="CD10" s="46"/>
      <c r="CE10" s="46"/>
      <c r="CF10" s="293">
        <f>C17/B68</f>
        <v>0.16803882547808469</v>
      </c>
    </row>
    <row r="11" spans="1:84" ht="14.25">
      <c r="A11" s="52" t="s">
        <v>98</v>
      </c>
      <c r="B11" s="39"/>
      <c r="C11" s="47"/>
      <c r="D11" s="6"/>
      <c r="E11" s="14"/>
      <c r="F11" s="14"/>
      <c r="G11" s="14"/>
      <c r="H11" s="14"/>
      <c r="I11" s="14"/>
      <c r="J11" s="15"/>
      <c r="K11" s="52" t="s">
        <v>58</v>
      </c>
      <c r="L11" s="39"/>
      <c r="M11" s="47"/>
      <c r="N11" s="9"/>
      <c r="O11" s="14"/>
      <c r="P11" s="40"/>
      <c r="Q11" s="39"/>
      <c r="R11" s="39"/>
      <c r="S11" s="39"/>
      <c r="T11" s="32"/>
      <c r="U11" s="196">
        <v>0.375</v>
      </c>
      <c r="V11" s="41"/>
      <c r="W11" s="25" t="s">
        <v>38</v>
      </c>
      <c r="X11" s="24"/>
      <c r="Y11" s="24"/>
      <c r="Z11" s="26"/>
      <c r="AA11" s="24"/>
      <c r="AB11" s="24"/>
      <c r="AC11" s="24"/>
      <c r="AD11" s="32"/>
      <c r="AE11" s="32"/>
      <c r="AF11" s="79"/>
      <c r="AG11" s="79"/>
      <c r="AH11" s="79"/>
      <c r="AI11" s="327" t="s">
        <v>361</v>
      </c>
      <c r="AJ11" s="328">
        <v>42.1</v>
      </c>
      <c r="AK11" s="330">
        <v>1.54</v>
      </c>
      <c r="AL11" s="328">
        <v>16.4</v>
      </c>
      <c r="AM11" s="330">
        <v>2.76</v>
      </c>
      <c r="AN11" s="330">
        <v>3.94</v>
      </c>
      <c r="AO11" s="331">
        <v>1980</v>
      </c>
      <c r="AP11" s="331">
        <v>2320</v>
      </c>
      <c r="AQ11" s="13">
        <v>7</v>
      </c>
      <c r="AR11" s="318" t="s">
        <v>132</v>
      </c>
      <c r="AS11" s="319">
        <v>26.7</v>
      </c>
      <c r="AT11" s="179">
        <v>7.84</v>
      </c>
      <c r="AU11" s="179">
        <v>8</v>
      </c>
      <c r="AV11" s="179">
        <v>8</v>
      </c>
      <c r="AW11" s="179">
        <v>0.5</v>
      </c>
      <c r="AX11" s="320">
        <v>1.125</v>
      </c>
      <c r="AY11" s="318">
        <v>1.125</v>
      </c>
      <c r="AZ11" s="319">
        <v>2.17</v>
      </c>
      <c r="BA11" s="179">
        <v>2.17</v>
      </c>
      <c r="BB11" s="179">
        <v>0.49</v>
      </c>
      <c r="BC11" s="179">
        <v>0.49</v>
      </c>
      <c r="BD11" s="179">
        <v>48.8</v>
      </c>
      <c r="BE11" s="320">
        <v>15.1</v>
      </c>
      <c r="BF11" s="318">
        <v>8.36</v>
      </c>
      <c r="BG11" s="319">
        <v>2.49</v>
      </c>
      <c r="BH11" s="179">
        <v>48.8</v>
      </c>
      <c r="BI11" s="179">
        <v>15.1</v>
      </c>
      <c r="BJ11" s="179">
        <v>8.36</v>
      </c>
      <c r="BK11" s="179">
        <v>2.49</v>
      </c>
      <c r="BL11" s="320">
        <v>1.59</v>
      </c>
      <c r="BM11" s="318">
        <v>0.683</v>
      </c>
      <c r="BN11" s="319">
        <v>3.23</v>
      </c>
      <c r="BO11" s="179">
        <v>4.45</v>
      </c>
      <c r="BP11" s="179">
        <v>0.628</v>
      </c>
      <c r="BQ11" s="179">
        <v>1</v>
      </c>
      <c r="BR11" s="179">
        <v>0.9115641278420724</v>
      </c>
      <c r="BS11" s="320">
        <v>0</v>
      </c>
      <c r="CA11" s="27" t="s">
        <v>795</v>
      </c>
      <c r="CB11" s="294"/>
      <c r="CC11" s="294"/>
      <c r="CD11" s="46"/>
      <c r="CE11" s="46"/>
      <c r="CF11" s="295"/>
    </row>
    <row r="12" spans="1:84" ht="12.75">
      <c r="A12" s="54" t="s">
        <v>99</v>
      </c>
      <c r="B12" s="393" t="s">
        <v>167</v>
      </c>
      <c r="C12" s="394"/>
      <c r="D12" s="14"/>
      <c r="E12" s="333" t="s">
        <v>329</v>
      </c>
      <c r="F12" s="14"/>
      <c r="G12" s="14"/>
      <c r="H12" s="14"/>
      <c r="I12" s="14"/>
      <c r="J12" s="15"/>
      <c r="K12" s="58"/>
      <c r="L12" s="39"/>
      <c r="M12" s="47" t="s">
        <v>33</v>
      </c>
      <c r="N12" s="6">
        <f>C25</f>
        <v>12</v>
      </c>
      <c r="O12" s="101" t="s">
        <v>1</v>
      </c>
      <c r="P12" s="14"/>
      <c r="Q12" s="14"/>
      <c r="R12" s="14"/>
      <c r="S12" s="14"/>
      <c r="T12" s="32"/>
      <c r="U12" s="196">
        <v>0.4375</v>
      </c>
      <c r="V12" s="41"/>
      <c r="W12" s="48" t="s">
        <v>39</v>
      </c>
      <c r="X12" s="36">
        <f>IF(OR(LEFT($N$10,1)="C",LEFT($N$10,2)="MC"),($L$26/1.67)*$N$15,IF(AND($X$4&lt;=$X$6,$X$5&lt;=$X$8),($L$26/1.67)*$N$15,IF(AND($X$4&lt;=$X$7,$X$5&lt;=$X$8),($N$15/1.67)*($L$26-($L$26-0.7)*(($X$4-$X$6)/($X$7-$X$6))))))</f>
        <v>33.553582490192035</v>
      </c>
      <c r="Y12" s="26" t="s">
        <v>11</v>
      </c>
      <c r="Z12" s="180" t="str">
        <f>IF(OR(LEFT($N$10,1)="C",LEFT($N$10,2)="MC"),"Fbx = (S.F./1.67)*Fy    (AISC Eqn. F2-1)",IF(AND($X$4&lt;=$X$6,$X$5&lt;=$X$8),"Fbx = (S.F./1.67)*Fy    (AISC Eqn. F2-1)",IF(AND($X$4&lt;=$X$7,$X$5&lt;=$X$8),"Fbx = (Fy/1.67)*{ S.F.-(S.F.-0.7)*[ (λ-λpf)/(λpf-λrf) ] }    (AISC Eqn. F3-1)")))</f>
        <v>Fbx = (S.F./1.67)*Fy    (AISC Eqn. F2-1)</v>
      </c>
      <c r="AA12" s="32"/>
      <c r="AB12" s="24"/>
      <c r="AC12" s="24"/>
      <c r="AD12" s="32"/>
      <c r="AE12" s="32"/>
      <c r="AF12" s="79"/>
      <c r="AG12" s="79"/>
      <c r="AH12" s="79"/>
      <c r="AI12" s="327" t="s">
        <v>362</v>
      </c>
      <c r="AJ12" s="328">
        <v>41.3</v>
      </c>
      <c r="AK12" s="330">
        <v>1.34</v>
      </c>
      <c r="AL12" s="328">
        <v>16.2</v>
      </c>
      <c r="AM12" s="330">
        <v>2.36</v>
      </c>
      <c r="AN12" s="330">
        <v>3.54</v>
      </c>
      <c r="AO12" s="331">
        <v>1690</v>
      </c>
      <c r="AP12" s="331">
        <v>1960</v>
      </c>
      <c r="AQ12" s="13">
        <v>8</v>
      </c>
      <c r="AR12" s="318" t="s">
        <v>133</v>
      </c>
      <c r="AS12" s="319">
        <v>44.4</v>
      </c>
      <c r="AT12" s="179">
        <v>13.1</v>
      </c>
      <c r="AU12" s="179">
        <v>8</v>
      </c>
      <c r="AV12" s="179">
        <v>6</v>
      </c>
      <c r="AW12" s="179">
        <v>1</v>
      </c>
      <c r="AX12" s="320">
        <v>1.5</v>
      </c>
      <c r="AY12" s="318">
        <v>1.5</v>
      </c>
      <c r="AZ12" s="319">
        <v>1.65</v>
      </c>
      <c r="BA12" s="179">
        <v>2.65</v>
      </c>
      <c r="BB12" s="179">
        <v>0.816</v>
      </c>
      <c r="BC12" s="179">
        <v>1.47</v>
      </c>
      <c r="BD12" s="179">
        <v>80.9</v>
      </c>
      <c r="BE12" s="320">
        <v>27.3</v>
      </c>
      <c r="BF12" s="318">
        <v>15.1</v>
      </c>
      <c r="BG12" s="319">
        <v>2.49</v>
      </c>
      <c r="BH12" s="179">
        <v>38.8</v>
      </c>
      <c r="BI12" s="179">
        <v>16.2</v>
      </c>
      <c r="BJ12" s="179">
        <v>8.92</v>
      </c>
      <c r="BK12" s="179">
        <v>1.72</v>
      </c>
      <c r="BL12" s="320">
        <v>1.28</v>
      </c>
      <c r="BM12" s="318">
        <v>4.34</v>
      </c>
      <c r="BN12" s="319">
        <v>16.3</v>
      </c>
      <c r="BO12" s="179">
        <v>3.88</v>
      </c>
      <c r="BP12" s="179">
        <v>0</v>
      </c>
      <c r="BQ12" s="179">
        <v>0.542</v>
      </c>
      <c r="BR12" s="179">
        <v>1</v>
      </c>
      <c r="BS12" s="320">
        <v>3.31</v>
      </c>
      <c r="CA12" s="30">
        <v>85</v>
      </c>
      <c r="CB12" s="46" t="s">
        <v>792</v>
      </c>
      <c r="CC12" s="46"/>
      <c r="CD12" s="46"/>
      <c r="CE12" s="46"/>
      <c r="CF12" s="293">
        <f>C17/B85</f>
        <v>0.12308589762286715</v>
      </c>
    </row>
    <row r="13" spans="1:71" ht="12.75">
      <c r="A13" s="334" t="s">
        <v>310</v>
      </c>
      <c r="B13" s="377" t="s">
        <v>332</v>
      </c>
      <c r="C13" s="14"/>
      <c r="D13" s="14"/>
      <c r="E13" s="333" t="s">
        <v>330</v>
      </c>
      <c r="F13" s="14"/>
      <c r="G13" s="14"/>
      <c r="H13" s="14"/>
      <c r="I13" s="14"/>
      <c r="J13" s="15"/>
      <c r="K13" s="19"/>
      <c r="L13" s="14"/>
      <c r="M13" s="38" t="s">
        <v>31</v>
      </c>
      <c r="N13" s="23" t="s">
        <v>21</v>
      </c>
      <c r="O13" s="101"/>
      <c r="P13" s="40"/>
      <c r="Q13" s="39"/>
      <c r="R13" s="156" t="str">
        <f>$N$10</f>
        <v>W10X22</v>
      </c>
      <c r="S13" s="39"/>
      <c r="T13" s="32"/>
      <c r="U13" s="196">
        <v>0.5</v>
      </c>
      <c r="V13" s="41"/>
      <c r="W13" s="48" t="s">
        <v>53</v>
      </c>
      <c r="X13" s="8">
        <f>($X$12*$L$24)/12</f>
        <v>64.87025948103793</v>
      </c>
      <c r="Y13" s="79" t="s">
        <v>17</v>
      </c>
      <c r="Z13" s="79" t="s">
        <v>758</v>
      </c>
      <c r="AA13" s="32"/>
      <c r="AB13" s="32"/>
      <c r="AC13" s="32"/>
      <c r="AD13" s="32"/>
      <c r="AE13" s="32"/>
      <c r="AF13" s="79"/>
      <c r="AG13" s="79"/>
      <c r="AH13" s="79"/>
      <c r="AI13" s="327" t="s">
        <v>363</v>
      </c>
      <c r="AJ13" s="328">
        <v>41</v>
      </c>
      <c r="AK13" s="330">
        <v>1.22</v>
      </c>
      <c r="AL13" s="328">
        <v>16.1</v>
      </c>
      <c r="AM13" s="330">
        <v>2.2</v>
      </c>
      <c r="AN13" s="330">
        <v>3.38</v>
      </c>
      <c r="AO13" s="331">
        <v>1560</v>
      </c>
      <c r="AP13" s="331">
        <v>1800</v>
      </c>
      <c r="AQ13" s="13">
        <v>9</v>
      </c>
      <c r="AR13" s="318" t="s">
        <v>134</v>
      </c>
      <c r="AS13" s="319">
        <v>39.3</v>
      </c>
      <c r="AT13" s="179">
        <v>11.5</v>
      </c>
      <c r="AU13" s="179">
        <v>8</v>
      </c>
      <c r="AV13" s="179">
        <v>6</v>
      </c>
      <c r="AW13" s="179">
        <v>0.875</v>
      </c>
      <c r="AX13" s="320">
        <v>1.375</v>
      </c>
      <c r="AY13" s="318">
        <v>1.375</v>
      </c>
      <c r="AZ13" s="319">
        <v>1.6</v>
      </c>
      <c r="BA13" s="179">
        <v>2.6</v>
      </c>
      <c r="BB13" s="179">
        <v>0.721</v>
      </c>
      <c r="BC13" s="179">
        <v>1.41</v>
      </c>
      <c r="BD13" s="179">
        <v>72.4</v>
      </c>
      <c r="BE13" s="320">
        <v>24.3</v>
      </c>
      <c r="BF13" s="318">
        <v>13.4</v>
      </c>
      <c r="BG13" s="319">
        <v>2.5</v>
      </c>
      <c r="BH13" s="179">
        <v>34.9</v>
      </c>
      <c r="BI13" s="179">
        <v>14.4</v>
      </c>
      <c r="BJ13" s="179">
        <v>7.94</v>
      </c>
      <c r="BK13" s="179">
        <v>1.74</v>
      </c>
      <c r="BL13" s="320">
        <v>1.28</v>
      </c>
      <c r="BM13" s="318">
        <v>2.96</v>
      </c>
      <c r="BN13" s="319">
        <v>11.3</v>
      </c>
      <c r="BO13" s="179">
        <v>3.92</v>
      </c>
      <c r="BP13" s="179">
        <v>0</v>
      </c>
      <c r="BQ13" s="179">
        <v>0.546</v>
      </c>
      <c r="BR13" s="179">
        <v>1</v>
      </c>
      <c r="BS13" s="320">
        <v>3.31</v>
      </c>
    </row>
    <row r="14" spans="1:71" ht="12.75">
      <c r="A14" s="19"/>
      <c r="B14" s="14"/>
      <c r="C14" s="14"/>
      <c r="D14" s="14"/>
      <c r="E14" s="14"/>
      <c r="F14" s="14"/>
      <c r="G14" s="14"/>
      <c r="H14" s="14"/>
      <c r="I14" s="14"/>
      <c r="J14" s="15"/>
      <c r="K14" s="58"/>
      <c r="L14" s="39"/>
      <c r="M14" s="47" t="s">
        <v>28</v>
      </c>
      <c r="N14" s="6">
        <f>C21-I30</f>
        <v>2.75</v>
      </c>
      <c r="O14" s="99" t="s">
        <v>19</v>
      </c>
      <c r="P14" s="157"/>
      <c r="Q14" s="154" t="str">
        <f>"         L="&amp;$N$12</f>
        <v>         L=12</v>
      </c>
      <c r="R14" s="39"/>
      <c r="S14" s="153"/>
      <c r="T14" s="32"/>
      <c r="U14" s="196">
        <v>0.5625</v>
      </c>
      <c r="V14" s="41"/>
      <c r="W14" s="48" t="s">
        <v>87</v>
      </c>
      <c r="X14" s="8">
        <f>$X$13</f>
        <v>64.87025948103793</v>
      </c>
      <c r="Y14" s="79" t="s">
        <v>17</v>
      </c>
      <c r="Z14" s="79" t="s">
        <v>84</v>
      </c>
      <c r="AA14" s="32"/>
      <c r="AB14" s="32"/>
      <c r="AC14" s="32"/>
      <c r="AD14" s="32"/>
      <c r="AE14" s="32"/>
      <c r="AF14" s="79"/>
      <c r="AG14" s="79"/>
      <c r="AH14" s="79"/>
      <c r="AI14" s="327" t="s">
        <v>364</v>
      </c>
      <c r="AJ14" s="328">
        <v>40.6</v>
      </c>
      <c r="AK14" s="330">
        <v>1.16</v>
      </c>
      <c r="AL14" s="328">
        <v>16.1</v>
      </c>
      <c r="AM14" s="330">
        <v>2.05</v>
      </c>
      <c r="AN14" s="330">
        <v>3.23</v>
      </c>
      <c r="AO14" s="331">
        <v>1460</v>
      </c>
      <c r="AP14" s="331">
        <v>1680</v>
      </c>
      <c r="AQ14" s="13">
        <v>10</v>
      </c>
      <c r="AR14" s="318" t="s">
        <v>135</v>
      </c>
      <c r="AS14" s="319">
        <v>34</v>
      </c>
      <c r="AT14" s="179">
        <v>9.99</v>
      </c>
      <c r="AU14" s="179">
        <v>8</v>
      </c>
      <c r="AV14" s="179">
        <v>6</v>
      </c>
      <c r="AW14" s="179">
        <v>0.75</v>
      </c>
      <c r="AX14" s="320">
        <v>1.25</v>
      </c>
      <c r="AY14" s="318">
        <v>1.25</v>
      </c>
      <c r="AZ14" s="319">
        <v>1.56</v>
      </c>
      <c r="BA14" s="179">
        <v>2.55</v>
      </c>
      <c r="BB14" s="179">
        <v>0.624</v>
      </c>
      <c r="BC14" s="179">
        <v>1.34</v>
      </c>
      <c r="BD14" s="179">
        <v>63.5</v>
      </c>
      <c r="BE14" s="320">
        <v>21.1</v>
      </c>
      <c r="BF14" s="318">
        <v>11.7</v>
      </c>
      <c r="BG14" s="319">
        <v>2.52</v>
      </c>
      <c r="BH14" s="179">
        <v>30.8</v>
      </c>
      <c r="BI14" s="179">
        <v>12.5</v>
      </c>
      <c r="BJ14" s="179">
        <v>6.92</v>
      </c>
      <c r="BK14" s="179">
        <v>1.75</v>
      </c>
      <c r="BL14" s="320">
        <v>1.29</v>
      </c>
      <c r="BM14" s="318">
        <v>1.9</v>
      </c>
      <c r="BN14" s="319">
        <v>7.28</v>
      </c>
      <c r="BO14" s="179">
        <v>3.95</v>
      </c>
      <c r="BP14" s="179">
        <v>0</v>
      </c>
      <c r="BQ14" s="179">
        <v>0.55</v>
      </c>
      <c r="BR14" s="179">
        <v>1</v>
      </c>
      <c r="BS14" s="320">
        <v>3.31</v>
      </c>
    </row>
    <row r="15" spans="1:71" ht="12.75">
      <c r="A15" s="52" t="s">
        <v>58</v>
      </c>
      <c r="B15" s="14"/>
      <c r="C15" s="14"/>
      <c r="D15" s="14"/>
      <c r="E15" s="14"/>
      <c r="F15" s="14"/>
      <c r="G15" s="14"/>
      <c r="H15" s="14"/>
      <c r="I15" s="14"/>
      <c r="J15" s="15"/>
      <c r="K15" s="19"/>
      <c r="L15" s="14"/>
      <c r="M15" s="47" t="s">
        <v>26</v>
      </c>
      <c r="N15" s="335">
        <f>C18</f>
        <v>50</v>
      </c>
      <c r="O15" s="101" t="s">
        <v>71</v>
      </c>
      <c r="P15" s="39"/>
      <c r="Q15" s="39"/>
      <c r="R15" s="39"/>
      <c r="S15" s="153" t="s">
        <v>63</v>
      </c>
      <c r="T15" s="32"/>
      <c r="U15" s="196">
        <v>0.625</v>
      </c>
      <c r="V15" s="48"/>
      <c r="W15" s="48" t="s">
        <v>88</v>
      </c>
      <c r="X15" s="10">
        <f>8*($X$12*$L$24/12)/$N$12^2</f>
        <v>3.6039033045021074</v>
      </c>
      <c r="Y15" s="79" t="s">
        <v>40</v>
      </c>
      <c r="Z15" s="32" t="s">
        <v>85</v>
      </c>
      <c r="AA15" s="32"/>
      <c r="AB15" s="32"/>
      <c r="AC15" s="32"/>
      <c r="AD15" s="32"/>
      <c r="AE15" s="32"/>
      <c r="AF15" s="79"/>
      <c r="AG15" s="79"/>
      <c r="AH15" s="79"/>
      <c r="AI15" s="327" t="s">
        <v>365</v>
      </c>
      <c r="AJ15" s="328">
        <v>40.6</v>
      </c>
      <c r="AK15" s="330">
        <v>1.12</v>
      </c>
      <c r="AL15" s="328">
        <v>16</v>
      </c>
      <c r="AM15" s="330">
        <v>2.01</v>
      </c>
      <c r="AN15" s="330">
        <v>3.19</v>
      </c>
      <c r="AO15" s="331">
        <v>1420</v>
      </c>
      <c r="AP15" s="331">
        <v>1640</v>
      </c>
      <c r="AQ15" s="13">
        <v>11</v>
      </c>
      <c r="AR15" s="318" t="s">
        <v>136</v>
      </c>
      <c r="AS15" s="319">
        <v>28.6</v>
      </c>
      <c r="AT15" s="179">
        <v>8.41</v>
      </c>
      <c r="AU15" s="179">
        <v>8</v>
      </c>
      <c r="AV15" s="179">
        <v>6</v>
      </c>
      <c r="AW15" s="179">
        <v>0.625</v>
      </c>
      <c r="AX15" s="320">
        <v>1.125</v>
      </c>
      <c r="AY15" s="318">
        <v>1.125</v>
      </c>
      <c r="AZ15" s="319">
        <v>1.51</v>
      </c>
      <c r="BA15" s="179">
        <v>2.5</v>
      </c>
      <c r="BB15" s="179">
        <v>0.526</v>
      </c>
      <c r="BC15" s="179">
        <v>1.27</v>
      </c>
      <c r="BD15" s="179">
        <v>54.2</v>
      </c>
      <c r="BE15" s="320">
        <v>17.9</v>
      </c>
      <c r="BF15" s="318">
        <v>9.86</v>
      </c>
      <c r="BG15" s="319">
        <v>2.54</v>
      </c>
      <c r="BH15" s="179">
        <v>26.4</v>
      </c>
      <c r="BI15" s="179">
        <v>10.5</v>
      </c>
      <c r="BJ15" s="179">
        <v>5.88</v>
      </c>
      <c r="BK15" s="179">
        <v>1.77</v>
      </c>
      <c r="BL15" s="320">
        <v>1.29</v>
      </c>
      <c r="BM15" s="318">
        <v>1.12</v>
      </c>
      <c r="BN15" s="319">
        <v>4.33</v>
      </c>
      <c r="BO15" s="179">
        <v>3.98</v>
      </c>
      <c r="BP15" s="179">
        <v>0</v>
      </c>
      <c r="BQ15" s="179">
        <v>0.554</v>
      </c>
      <c r="BR15" s="179">
        <v>0.9972513022736579</v>
      </c>
      <c r="BS15" s="320">
        <v>3.31</v>
      </c>
    </row>
    <row r="16" spans="1:71" ht="12.75">
      <c r="A16" s="19"/>
      <c r="B16" s="14"/>
      <c r="C16" s="14"/>
      <c r="D16" s="14"/>
      <c r="E16" s="14"/>
      <c r="F16" s="336"/>
      <c r="G16" s="14"/>
      <c r="H16" s="14"/>
      <c r="I16" s="14"/>
      <c r="J16" s="15"/>
      <c r="K16" s="19"/>
      <c r="L16" s="14"/>
      <c r="M16" s="14"/>
      <c r="N16" s="14"/>
      <c r="O16" s="101"/>
      <c r="P16" s="155" t="s">
        <v>61</v>
      </c>
      <c r="Q16" s="39"/>
      <c r="R16" s="39"/>
      <c r="S16" s="39"/>
      <c r="T16" s="32"/>
      <c r="U16" s="55" t="s">
        <v>21</v>
      </c>
      <c r="V16" s="32"/>
      <c r="W16" s="80" t="s">
        <v>759</v>
      </c>
      <c r="X16" s="209">
        <v>5</v>
      </c>
      <c r="Y16" s="184"/>
      <c r="Z16" s="24" t="s">
        <v>760</v>
      </c>
      <c r="AA16" s="32"/>
      <c r="AB16" s="32"/>
      <c r="AC16" s="24"/>
      <c r="AD16" s="32"/>
      <c r="AE16" s="32"/>
      <c r="AF16" s="79"/>
      <c r="AG16" s="79"/>
      <c r="AH16" s="79"/>
      <c r="AI16" s="327" t="s">
        <v>366</v>
      </c>
      <c r="AJ16" s="328">
        <v>40.2</v>
      </c>
      <c r="AK16" s="330">
        <v>1</v>
      </c>
      <c r="AL16" s="328">
        <v>15.9</v>
      </c>
      <c r="AM16" s="330">
        <v>1.81</v>
      </c>
      <c r="AN16" s="330">
        <v>2.99</v>
      </c>
      <c r="AO16" s="331">
        <v>1280</v>
      </c>
      <c r="AP16" s="331">
        <v>1460</v>
      </c>
      <c r="AQ16" s="13">
        <v>12</v>
      </c>
      <c r="AR16" s="318" t="s">
        <v>137</v>
      </c>
      <c r="AS16" s="319">
        <v>25.9</v>
      </c>
      <c r="AT16" s="179">
        <v>7.61</v>
      </c>
      <c r="AU16" s="179">
        <v>8</v>
      </c>
      <c r="AV16" s="179">
        <v>6</v>
      </c>
      <c r="AW16" s="179">
        <v>0.5625</v>
      </c>
      <c r="AX16" s="320">
        <v>1.0625</v>
      </c>
      <c r="AY16" s="318">
        <v>1.0625</v>
      </c>
      <c r="AZ16" s="319">
        <v>1.49</v>
      </c>
      <c r="BA16" s="179">
        <v>2.48</v>
      </c>
      <c r="BB16" s="179">
        <v>0.476</v>
      </c>
      <c r="BC16" s="179">
        <v>1.23</v>
      </c>
      <c r="BD16" s="179">
        <v>49.4</v>
      </c>
      <c r="BE16" s="320">
        <v>16.2</v>
      </c>
      <c r="BF16" s="318">
        <v>8.94</v>
      </c>
      <c r="BG16" s="319">
        <v>2.55</v>
      </c>
      <c r="BH16" s="179">
        <v>24.1</v>
      </c>
      <c r="BI16" s="179">
        <v>9.52</v>
      </c>
      <c r="BJ16" s="179">
        <v>5.34</v>
      </c>
      <c r="BK16" s="179">
        <v>1.78</v>
      </c>
      <c r="BL16" s="320">
        <v>1.3</v>
      </c>
      <c r="BM16" s="318">
        <v>0.823</v>
      </c>
      <c r="BN16" s="319">
        <v>3.2</v>
      </c>
      <c r="BO16" s="179">
        <v>3.99</v>
      </c>
      <c r="BP16" s="179">
        <v>0</v>
      </c>
      <c r="BQ16" s="179">
        <v>0.556</v>
      </c>
      <c r="BR16" s="179">
        <v>0.9591681136373977</v>
      </c>
      <c r="BS16" s="320">
        <v>3.31</v>
      </c>
    </row>
    <row r="17" spans="1:71" ht="12.75">
      <c r="A17" s="19"/>
      <c r="B17" s="38" t="s">
        <v>311</v>
      </c>
      <c r="C17" s="280">
        <v>4.22</v>
      </c>
      <c r="D17" s="337" t="s">
        <v>9</v>
      </c>
      <c r="E17" s="14"/>
      <c r="F17" s="14"/>
      <c r="G17" s="14"/>
      <c r="H17" s="14"/>
      <c r="I17" s="14"/>
      <c r="J17" s="15"/>
      <c r="K17" s="52" t="s">
        <v>50</v>
      </c>
      <c r="L17" s="39"/>
      <c r="M17" s="14"/>
      <c r="N17" s="183"/>
      <c r="O17" s="177"/>
      <c r="P17" s="14"/>
      <c r="Q17" s="39"/>
      <c r="R17" s="39"/>
      <c r="S17" s="39"/>
      <c r="T17" s="32"/>
      <c r="U17" s="55" t="s">
        <v>49</v>
      </c>
      <c r="V17" s="32"/>
      <c r="W17" s="80" t="s">
        <v>761</v>
      </c>
      <c r="X17" s="209">
        <f>IF($X$5&lt;=2.24*SQRT(29000/$N$15),1,IF($X$5&lt;=1.1*SQRT($X$16*29000/$N$15),1,IF($X$5&gt;1.37*SQRT($X$16*29000/$N$15),(1.51*29000*$X$16)/($X$5^2*$N$15),1.1*SQRT($X$16*29000/$N$15)/$X$5)))</f>
        <v>1</v>
      </c>
      <c r="Y17" s="29"/>
      <c r="Z17" s="24" t="s">
        <v>762</v>
      </c>
      <c r="AA17" s="32"/>
      <c r="AB17" s="32"/>
      <c r="AC17" s="24"/>
      <c r="AD17" s="32"/>
      <c r="AE17" s="32"/>
      <c r="AF17" s="79"/>
      <c r="AG17" s="79"/>
      <c r="AH17" s="79"/>
      <c r="AI17" s="327" t="s">
        <v>367</v>
      </c>
      <c r="AJ17" s="328">
        <v>39.8</v>
      </c>
      <c r="AK17" s="329">
        <v>0.93</v>
      </c>
      <c r="AL17" s="328">
        <v>15.8</v>
      </c>
      <c r="AM17" s="330">
        <v>1.65</v>
      </c>
      <c r="AN17" s="330">
        <v>2.83</v>
      </c>
      <c r="AO17" s="331">
        <v>1170</v>
      </c>
      <c r="AP17" s="331">
        <v>1330</v>
      </c>
      <c r="AQ17" s="13">
        <v>13</v>
      </c>
      <c r="AR17" s="318" t="s">
        <v>138</v>
      </c>
      <c r="AS17" s="319">
        <v>23.2</v>
      </c>
      <c r="AT17" s="179">
        <v>6.8</v>
      </c>
      <c r="AU17" s="179">
        <v>8</v>
      </c>
      <c r="AV17" s="179">
        <v>6</v>
      </c>
      <c r="AW17" s="179">
        <v>0.5</v>
      </c>
      <c r="AX17" s="320">
        <v>1</v>
      </c>
      <c r="AY17" s="318">
        <v>1</v>
      </c>
      <c r="AZ17" s="319">
        <v>1.46</v>
      </c>
      <c r="BA17" s="179">
        <v>2.46</v>
      </c>
      <c r="BB17" s="179">
        <v>0.425</v>
      </c>
      <c r="BC17" s="179">
        <v>1.2</v>
      </c>
      <c r="BD17" s="179">
        <v>44.4</v>
      </c>
      <c r="BE17" s="320">
        <v>14.6</v>
      </c>
      <c r="BF17" s="318">
        <v>8.01</v>
      </c>
      <c r="BG17" s="319">
        <v>2.55</v>
      </c>
      <c r="BH17" s="179">
        <v>21.7</v>
      </c>
      <c r="BI17" s="179">
        <v>8.52</v>
      </c>
      <c r="BJ17" s="179">
        <v>4.79</v>
      </c>
      <c r="BK17" s="179">
        <v>1.79</v>
      </c>
      <c r="BL17" s="320">
        <v>1.3</v>
      </c>
      <c r="BM17" s="318">
        <v>0.584</v>
      </c>
      <c r="BN17" s="319">
        <v>2.28</v>
      </c>
      <c r="BO17" s="179">
        <v>4.01</v>
      </c>
      <c r="BP17" s="179">
        <v>0</v>
      </c>
      <c r="BQ17" s="179">
        <v>0.557</v>
      </c>
      <c r="BR17" s="179">
        <v>0.9115641278420724</v>
      </c>
      <c r="BS17" s="320">
        <v>3.31</v>
      </c>
    </row>
    <row r="18" spans="1:71" ht="12.75">
      <c r="A18" s="19"/>
      <c r="B18" s="38" t="s">
        <v>312</v>
      </c>
      <c r="C18" s="279">
        <v>50</v>
      </c>
      <c r="D18" s="337" t="s">
        <v>11</v>
      </c>
      <c r="E18" s="14"/>
      <c r="F18" s="14"/>
      <c r="G18" s="14"/>
      <c r="H18" s="14"/>
      <c r="I18" s="14"/>
      <c r="J18" s="15"/>
      <c r="K18" s="54" t="s">
        <v>51</v>
      </c>
      <c r="L18" s="39"/>
      <c r="M18" s="14"/>
      <c r="N18" s="47" t="s">
        <v>316</v>
      </c>
      <c r="O18" s="39"/>
      <c r="P18" s="14"/>
      <c r="Q18" s="14"/>
      <c r="R18" s="14"/>
      <c r="S18" s="14"/>
      <c r="T18" s="32"/>
      <c r="U18" s="64" t="s">
        <v>279</v>
      </c>
      <c r="V18" s="48"/>
      <c r="W18" s="48" t="s">
        <v>16</v>
      </c>
      <c r="X18" s="209">
        <f>(1/1.5)*0.6*$X$17*$N$15</f>
        <v>20</v>
      </c>
      <c r="Y18" s="41" t="s">
        <v>9</v>
      </c>
      <c r="Z18" s="24" t="s">
        <v>763</v>
      </c>
      <c r="AA18" s="24"/>
      <c r="AB18" s="32"/>
      <c r="AC18" s="24"/>
      <c r="AD18" s="32"/>
      <c r="AE18" s="32"/>
      <c r="AF18" s="79"/>
      <c r="AG18" s="79"/>
      <c r="AH18" s="79"/>
      <c r="AI18" s="327" t="s">
        <v>368</v>
      </c>
      <c r="AJ18" s="328">
        <v>39.7</v>
      </c>
      <c r="AK18" s="329">
        <v>0.83</v>
      </c>
      <c r="AL18" s="328">
        <v>15.8</v>
      </c>
      <c r="AM18" s="330">
        <v>1.58</v>
      </c>
      <c r="AN18" s="330">
        <v>2.76</v>
      </c>
      <c r="AO18" s="331">
        <v>1100</v>
      </c>
      <c r="AP18" s="331">
        <v>1250</v>
      </c>
      <c r="AQ18" s="13">
        <v>14</v>
      </c>
      <c r="AR18" s="318" t="s">
        <v>139</v>
      </c>
      <c r="AS18" s="319">
        <v>20.4</v>
      </c>
      <c r="AT18" s="179">
        <v>5.99</v>
      </c>
      <c r="AU18" s="179">
        <v>8</v>
      </c>
      <c r="AV18" s="179">
        <v>6</v>
      </c>
      <c r="AW18" s="179">
        <v>0.4375</v>
      </c>
      <c r="AX18" s="320">
        <v>0.9375</v>
      </c>
      <c r="AY18" s="318">
        <v>0.9375</v>
      </c>
      <c r="AZ18" s="319">
        <v>1.44</v>
      </c>
      <c r="BA18" s="179">
        <v>2.43</v>
      </c>
      <c r="BB18" s="179">
        <v>0.374</v>
      </c>
      <c r="BC18" s="179">
        <v>1.16</v>
      </c>
      <c r="BD18" s="179">
        <v>39.3</v>
      </c>
      <c r="BE18" s="320">
        <v>12.9</v>
      </c>
      <c r="BF18" s="318">
        <v>7.06</v>
      </c>
      <c r="BG18" s="319">
        <v>2.56</v>
      </c>
      <c r="BH18" s="179">
        <v>19.3</v>
      </c>
      <c r="BI18" s="179">
        <v>7.5</v>
      </c>
      <c r="BJ18" s="179">
        <v>4.23</v>
      </c>
      <c r="BK18" s="179">
        <v>1.8</v>
      </c>
      <c r="BL18" s="320">
        <v>1.31</v>
      </c>
      <c r="BM18" s="318">
        <v>0.396</v>
      </c>
      <c r="BN18" s="319">
        <v>1.55</v>
      </c>
      <c r="BO18" s="179">
        <v>4.02</v>
      </c>
      <c r="BP18" s="179">
        <v>0</v>
      </c>
      <c r="BQ18" s="179">
        <v>0.559</v>
      </c>
      <c r="BR18" s="179">
        <v>0.8503590032480828</v>
      </c>
      <c r="BS18" s="320">
        <v>3.31</v>
      </c>
    </row>
    <row r="19" spans="1:71" ht="12.75">
      <c r="A19" s="19"/>
      <c r="B19" s="38" t="s">
        <v>313</v>
      </c>
      <c r="C19" s="279">
        <v>36</v>
      </c>
      <c r="D19" s="337" t="s">
        <v>11</v>
      </c>
      <c r="E19" s="14"/>
      <c r="F19" s="14"/>
      <c r="G19" s="338" t="s">
        <v>338</v>
      </c>
      <c r="H19" s="14"/>
      <c r="I19" s="14"/>
      <c r="J19" s="15"/>
      <c r="K19" s="54" t="s">
        <v>52</v>
      </c>
      <c r="L19" s="6">
        <f>VLOOKUP($N$10,$AI$6:$AP$406,2,FALSE)</f>
        <v>10.2</v>
      </c>
      <c r="M19" s="101" t="s">
        <v>19</v>
      </c>
      <c r="N19" s="47" t="s">
        <v>782</v>
      </c>
      <c r="O19" s="6">
        <f>IF(B13="YES",VLOOKUP($B$12,AR5:BS129,5,FALSE),VLOOKUP($B$12,AR5:BS129,4,FALSE))</f>
        <v>4</v>
      </c>
      <c r="P19" s="101" t="s">
        <v>19</v>
      </c>
      <c r="Q19" s="39"/>
      <c r="R19" s="39"/>
      <c r="S19" s="39"/>
      <c r="T19" s="32"/>
      <c r="U19" s="64" t="s">
        <v>282</v>
      </c>
      <c r="V19" s="48"/>
      <c r="W19" s="48" t="s">
        <v>46</v>
      </c>
      <c r="X19" s="36">
        <f>$X$18*($L$19*$L$20)</f>
        <v>48.96</v>
      </c>
      <c r="Y19" s="26" t="s">
        <v>9</v>
      </c>
      <c r="Z19" s="79" t="s">
        <v>30</v>
      </c>
      <c r="AA19" s="32"/>
      <c r="AB19" s="32"/>
      <c r="AC19" s="24"/>
      <c r="AD19" s="32"/>
      <c r="AE19" s="32"/>
      <c r="AF19" s="32"/>
      <c r="AG19" s="32"/>
      <c r="AH19" s="32"/>
      <c r="AI19" s="327" t="s">
        <v>369</v>
      </c>
      <c r="AJ19" s="328">
        <v>39.4</v>
      </c>
      <c r="AK19" s="329">
        <v>0.75</v>
      </c>
      <c r="AL19" s="328">
        <v>15.8</v>
      </c>
      <c r="AM19" s="330">
        <v>1.42</v>
      </c>
      <c r="AN19" s="330">
        <v>2.6</v>
      </c>
      <c r="AO19" s="331">
        <v>993</v>
      </c>
      <c r="AP19" s="331">
        <v>1120</v>
      </c>
      <c r="AQ19" s="13">
        <v>15</v>
      </c>
      <c r="AR19" s="318" t="s">
        <v>140</v>
      </c>
      <c r="AS19" s="319">
        <v>37.6</v>
      </c>
      <c r="AT19" s="179">
        <v>11.1</v>
      </c>
      <c r="AU19" s="179">
        <v>8</v>
      </c>
      <c r="AV19" s="179">
        <v>4</v>
      </c>
      <c r="AW19" s="179">
        <v>1</v>
      </c>
      <c r="AX19" s="320">
        <v>1.5</v>
      </c>
      <c r="AY19" s="318">
        <v>1.5</v>
      </c>
      <c r="AZ19" s="319">
        <v>1.04</v>
      </c>
      <c r="BA19" s="179">
        <v>3.03</v>
      </c>
      <c r="BB19" s="179">
        <v>0.691</v>
      </c>
      <c r="BC19" s="179">
        <v>2.47</v>
      </c>
      <c r="BD19" s="179">
        <v>69.7</v>
      </c>
      <c r="BE19" s="320">
        <v>24.3</v>
      </c>
      <c r="BF19" s="318">
        <v>14</v>
      </c>
      <c r="BG19" s="319">
        <v>2.51</v>
      </c>
      <c r="BH19" s="179">
        <v>11.6</v>
      </c>
      <c r="BI19" s="179">
        <v>7.73</v>
      </c>
      <c r="BJ19" s="179">
        <v>3.94</v>
      </c>
      <c r="BK19" s="179">
        <v>1.03</v>
      </c>
      <c r="BL19" s="320">
        <v>0.844</v>
      </c>
      <c r="BM19" s="318">
        <v>3.68</v>
      </c>
      <c r="BN19" s="319">
        <v>12.9</v>
      </c>
      <c r="BO19" s="179">
        <v>3.74</v>
      </c>
      <c r="BP19" s="179">
        <v>0</v>
      </c>
      <c r="BQ19" s="179">
        <v>0.247</v>
      </c>
      <c r="BR19" s="179">
        <v>1</v>
      </c>
      <c r="BS19" s="320">
        <v>5.48</v>
      </c>
    </row>
    <row r="20" spans="1:71" ht="12.75">
      <c r="A20" s="19"/>
      <c r="B20" s="38" t="s">
        <v>281</v>
      </c>
      <c r="C20" s="129" t="s">
        <v>282</v>
      </c>
      <c r="D20" s="337" t="s">
        <v>11</v>
      </c>
      <c r="E20" s="14"/>
      <c r="F20" s="14"/>
      <c r="G20" s="14"/>
      <c r="H20" s="14"/>
      <c r="I20" s="14"/>
      <c r="J20" s="15"/>
      <c r="K20" s="54" t="s">
        <v>45</v>
      </c>
      <c r="L20" s="6">
        <f>VLOOKUP($N$10,$AI$6:$AP$406,3,FALSE)</f>
        <v>0.24</v>
      </c>
      <c r="M20" s="101" t="s">
        <v>19</v>
      </c>
      <c r="N20" s="47" t="s">
        <v>781</v>
      </c>
      <c r="O20" s="6">
        <f>IF(B13="YES",VLOOKUP($B$12,AR5:BS129,4,FALSE),VLOOKUP($B$12,AR5:BS129,5,FALSE))</f>
        <v>6</v>
      </c>
      <c r="P20" s="101" t="s">
        <v>19</v>
      </c>
      <c r="Q20" s="39"/>
      <c r="R20" s="182" t="str">
        <f>$N$10&amp;"   "</f>
        <v>W10X22   </v>
      </c>
      <c r="S20" s="153" t="str">
        <f>"     d="&amp;$L$19</f>
        <v>     d=10.2</v>
      </c>
      <c r="T20" s="32"/>
      <c r="U20" s="64" t="s">
        <v>287</v>
      </c>
      <c r="V20" s="48"/>
      <c r="W20" s="48" t="s">
        <v>89</v>
      </c>
      <c r="X20" s="8">
        <f>MIN($X$15*$N$12,2*$X$19)</f>
        <v>43.24683965402529</v>
      </c>
      <c r="Y20" s="26" t="s">
        <v>9</v>
      </c>
      <c r="Z20" s="32" t="s">
        <v>764</v>
      </c>
      <c r="AA20" s="32"/>
      <c r="AB20" s="24"/>
      <c r="AC20" s="24"/>
      <c r="AD20" s="32"/>
      <c r="AE20" s="32"/>
      <c r="AF20" s="32"/>
      <c r="AG20" s="32"/>
      <c r="AH20" s="32"/>
      <c r="AI20" s="327" t="s">
        <v>370</v>
      </c>
      <c r="AJ20" s="328">
        <v>39</v>
      </c>
      <c r="AK20" s="329">
        <v>0.65</v>
      </c>
      <c r="AL20" s="328">
        <v>15.8</v>
      </c>
      <c r="AM20" s="330">
        <v>1.22</v>
      </c>
      <c r="AN20" s="330">
        <v>2.4</v>
      </c>
      <c r="AO20" s="331">
        <v>859</v>
      </c>
      <c r="AP20" s="331">
        <v>964</v>
      </c>
      <c r="AQ20" s="13">
        <v>16</v>
      </c>
      <c r="AR20" s="318" t="s">
        <v>141</v>
      </c>
      <c r="AS20" s="319">
        <v>33.3</v>
      </c>
      <c r="AT20" s="179">
        <v>9.79</v>
      </c>
      <c r="AU20" s="179">
        <v>8</v>
      </c>
      <c r="AV20" s="179">
        <v>4</v>
      </c>
      <c r="AW20" s="179">
        <v>0.875</v>
      </c>
      <c r="AX20" s="320">
        <v>1.375</v>
      </c>
      <c r="AY20" s="318">
        <v>1.375</v>
      </c>
      <c r="AZ20" s="319">
        <v>0.997</v>
      </c>
      <c r="BA20" s="179">
        <v>2.99</v>
      </c>
      <c r="BB20" s="179">
        <v>0.612</v>
      </c>
      <c r="BC20" s="179">
        <v>2.41</v>
      </c>
      <c r="BD20" s="179">
        <v>62.6</v>
      </c>
      <c r="BE20" s="320">
        <v>21.7</v>
      </c>
      <c r="BF20" s="318">
        <v>12.5</v>
      </c>
      <c r="BG20" s="319">
        <v>2.53</v>
      </c>
      <c r="BH20" s="179">
        <v>10.5</v>
      </c>
      <c r="BI20" s="179">
        <v>6.77</v>
      </c>
      <c r="BJ20" s="179">
        <v>3.51</v>
      </c>
      <c r="BK20" s="179">
        <v>1.04</v>
      </c>
      <c r="BL20" s="320">
        <v>0.846</v>
      </c>
      <c r="BM20" s="318">
        <v>2.51</v>
      </c>
      <c r="BN20" s="319">
        <v>8.89</v>
      </c>
      <c r="BO20" s="179">
        <v>3.78</v>
      </c>
      <c r="BP20" s="179">
        <v>0</v>
      </c>
      <c r="BQ20" s="179">
        <v>0.252</v>
      </c>
      <c r="BR20" s="179">
        <v>1</v>
      </c>
      <c r="BS20" s="320">
        <v>5.48</v>
      </c>
    </row>
    <row r="21" spans="1:71" ht="12.75">
      <c r="A21" s="19"/>
      <c r="B21" s="38" t="s">
        <v>315</v>
      </c>
      <c r="C21" s="210">
        <v>3.41</v>
      </c>
      <c r="D21" s="337" t="s">
        <v>19</v>
      </c>
      <c r="E21" s="14"/>
      <c r="F21" s="14"/>
      <c r="G21" s="14"/>
      <c r="H21" s="339" t="s">
        <v>334</v>
      </c>
      <c r="I21" s="14"/>
      <c r="J21" s="15"/>
      <c r="K21" s="54" t="s">
        <v>29</v>
      </c>
      <c r="L21" s="6">
        <f>VLOOKUP($N$10,$AI$6:$AP$406,4,FALSE)</f>
        <v>5.75</v>
      </c>
      <c r="M21" s="101" t="s">
        <v>19</v>
      </c>
      <c r="N21" s="47" t="s">
        <v>317</v>
      </c>
      <c r="O21" s="6">
        <f>VLOOKUP($B$12,AR5:BS129,6,FALSE)</f>
        <v>0.375</v>
      </c>
      <c r="P21" s="101" t="s">
        <v>19</v>
      </c>
      <c r="Q21" s="153" t="str">
        <f>"              k="&amp;$L$23</f>
        <v>              k=0.66</v>
      </c>
      <c r="R21" s="39"/>
      <c r="S21" s="39"/>
      <c r="T21" s="32"/>
      <c r="U21" s="64" t="s">
        <v>289</v>
      </c>
      <c r="V21" s="48"/>
      <c r="W21" s="48" t="s">
        <v>47</v>
      </c>
      <c r="X21" s="8">
        <f>MIN($X$15*$N$12/2,$X$19)</f>
        <v>21.623419827012643</v>
      </c>
      <c r="Y21" s="79" t="s">
        <v>9</v>
      </c>
      <c r="Z21" s="79" t="s">
        <v>86</v>
      </c>
      <c r="AA21" s="24"/>
      <c r="AB21" s="32"/>
      <c r="AC21" s="32"/>
      <c r="AD21" s="32"/>
      <c r="AE21" s="32"/>
      <c r="AF21" s="32"/>
      <c r="AG21" s="32"/>
      <c r="AH21" s="32"/>
      <c r="AI21" s="327" t="s">
        <v>371</v>
      </c>
      <c r="AJ21" s="328">
        <v>38.7</v>
      </c>
      <c r="AK21" s="329">
        <v>0.65</v>
      </c>
      <c r="AL21" s="328">
        <v>15.8</v>
      </c>
      <c r="AM21" s="330">
        <v>1.07</v>
      </c>
      <c r="AN21" s="330">
        <v>2.25</v>
      </c>
      <c r="AO21" s="331">
        <v>770</v>
      </c>
      <c r="AP21" s="331">
        <v>869</v>
      </c>
      <c r="AQ21" s="13">
        <v>17</v>
      </c>
      <c r="AR21" s="318" t="s">
        <v>142</v>
      </c>
      <c r="AS21" s="319">
        <v>28.9</v>
      </c>
      <c r="AT21" s="179">
        <v>8.49</v>
      </c>
      <c r="AU21" s="179">
        <v>8</v>
      </c>
      <c r="AV21" s="179">
        <v>4</v>
      </c>
      <c r="AW21" s="179">
        <v>0.75</v>
      </c>
      <c r="AX21" s="320">
        <v>1.25</v>
      </c>
      <c r="AY21" s="318">
        <v>1.25</v>
      </c>
      <c r="AZ21" s="319">
        <v>0.949</v>
      </c>
      <c r="BA21" s="179">
        <v>2.94</v>
      </c>
      <c r="BB21" s="179">
        <v>0.531</v>
      </c>
      <c r="BC21" s="179">
        <v>2.34</v>
      </c>
      <c r="BD21" s="179">
        <v>55</v>
      </c>
      <c r="BE21" s="320">
        <v>18.9</v>
      </c>
      <c r="BF21" s="318">
        <v>10.9</v>
      </c>
      <c r="BG21" s="319">
        <v>2.55</v>
      </c>
      <c r="BH21" s="179">
        <v>9.37</v>
      </c>
      <c r="BI21" s="179">
        <v>5.82</v>
      </c>
      <c r="BJ21" s="179">
        <v>3.07</v>
      </c>
      <c r="BK21" s="179">
        <v>1.05</v>
      </c>
      <c r="BL21" s="320">
        <v>0.85</v>
      </c>
      <c r="BM21" s="318">
        <v>1.61</v>
      </c>
      <c r="BN21" s="319">
        <v>5.75</v>
      </c>
      <c r="BO21" s="179">
        <v>3.81</v>
      </c>
      <c r="BP21" s="179">
        <v>0</v>
      </c>
      <c r="BQ21" s="179">
        <v>0.257</v>
      </c>
      <c r="BR21" s="179">
        <v>1</v>
      </c>
      <c r="BS21" s="320">
        <v>5.48</v>
      </c>
    </row>
    <row r="22" spans="1:71" ht="12.75">
      <c r="A22" s="19"/>
      <c r="B22" s="38" t="s">
        <v>319</v>
      </c>
      <c r="C22" s="210">
        <v>0.75</v>
      </c>
      <c r="D22" s="337" t="s">
        <v>19</v>
      </c>
      <c r="E22" s="14"/>
      <c r="F22" s="304" t="s">
        <v>331</v>
      </c>
      <c r="G22" s="340"/>
      <c r="H22" s="14"/>
      <c r="I22" s="14"/>
      <c r="J22" s="15"/>
      <c r="K22" s="54" t="s">
        <v>43</v>
      </c>
      <c r="L22" s="6">
        <f>VLOOKUP($N$10,$AI$6:$AP$406,5,FALSE)</f>
        <v>0.36</v>
      </c>
      <c r="M22" s="101" t="s">
        <v>19</v>
      </c>
      <c r="N22" s="14"/>
      <c r="O22" s="14"/>
      <c r="P22" s="39"/>
      <c r="Q22" s="151"/>
      <c r="R22" s="39"/>
      <c r="S22" s="39"/>
      <c r="T22" s="32"/>
      <c r="U22" s="64" t="s">
        <v>290</v>
      </c>
      <c r="V22" s="48"/>
      <c r="W22" s="24"/>
      <c r="X22" s="24"/>
      <c r="Y22" s="29"/>
      <c r="Z22" s="24"/>
      <c r="AA22" s="24"/>
      <c r="AB22" s="32"/>
      <c r="AC22" s="24"/>
      <c r="AD22" s="32"/>
      <c r="AE22" s="32"/>
      <c r="AF22" s="32"/>
      <c r="AG22" s="32"/>
      <c r="AH22" s="32"/>
      <c r="AI22" s="327" t="s">
        <v>372</v>
      </c>
      <c r="AJ22" s="328">
        <v>41.6</v>
      </c>
      <c r="AK22" s="330">
        <v>1.42</v>
      </c>
      <c r="AL22" s="328">
        <v>12.4</v>
      </c>
      <c r="AM22" s="330">
        <v>2.52</v>
      </c>
      <c r="AN22" s="330">
        <v>3.7</v>
      </c>
      <c r="AO22" s="331">
        <v>1440</v>
      </c>
      <c r="AP22" s="331">
        <v>1710</v>
      </c>
      <c r="AQ22" s="13">
        <v>18</v>
      </c>
      <c r="AR22" s="318" t="s">
        <v>143</v>
      </c>
      <c r="AS22" s="319">
        <v>24.4</v>
      </c>
      <c r="AT22" s="179">
        <v>7.16</v>
      </c>
      <c r="AU22" s="179">
        <v>8</v>
      </c>
      <c r="AV22" s="179">
        <v>4</v>
      </c>
      <c r="AW22" s="179">
        <v>0.625</v>
      </c>
      <c r="AX22" s="320">
        <v>1.125</v>
      </c>
      <c r="AY22" s="318">
        <v>1.125</v>
      </c>
      <c r="AZ22" s="319">
        <v>0.902</v>
      </c>
      <c r="BA22" s="179">
        <v>2.89</v>
      </c>
      <c r="BB22" s="179">
        <v>0.448</v>
      </c>
      <c r="BC22" s="179">
        <v>2.27</v>
      </c>
      <c r="BD22" s="179">
        <v>47</v>
      </c>
      <c r="BE22" s="320">
        <v>16.1</v>
      </c>
      <c r="BF22" s="318">
        <v>9.2</v>
      </c>
      <c r="BG22" s="319">
        <v>2.56</v>
      </c>
      <c r="BH22" s="179">
        <v>8.11</v>
      </c>
      <c r="BI22" s="179">
        <v>4.86</v>
      </c>
      <c r="BJ22" s="179">
        <v>2.62</v>
      </c>
      <c r="BK22" s="179">
        <v>1.06</v>
      </c>
      <c r="BL22" s="320">
        <v>0.856</v>
      </c>
      <c r="BM22" s="318">
        <v>0.955</v>
      </c>
      <c r="BN22" s="319">
        <v>3.42</v>
      </c>
      <c r="BO22" s="179">
        <v>3.83</v>
      </c>
      <c r="BP22" s="179">
        <v>0</v>
      </c>
      <c r="BQ22" s="179">
        <v>0.262</v>
      </c>
      <c r="BR22" s="179">
        <v>0.9972513022736579</v>
      </c>
      <c r="BS22" s="320">
        <v>5.48</v>
      </c>
    </row>
    <row r="23" spans="1:71" ht="12.75">
      <c r="A23" s="19"/>
      <c r="B23" s="38" t="s">
        <v>320</v>
      </c>
      <c r="C23" s="210">
        <v>8</v>
      </c>
      <c r="D23" s="337" t="s">
        <v>19</v>
      </c>
      <c r="E23" s="14"/>
      <c r="F23" s="14"/>
      <c r="G23" s="14"/>
      <c r="H23" s="14"/>
      <c r="I23" s="14"/>
      <c r="J23" s="15"/>
      <c r="K23" s="178" t="s">
        <v>2</v>
      </c>
      <c r="L23" s="11">
        <f>VLOOKUP($N$10,$AI$6:$AP$406,6,FALSE)</f>
        <v>0.66</v>
      </c>
      <c r="M23" s="101" t="s">
        <v>19</v>
      </c>
      <c r="N23" s="14"/>
      <c r="O23" s="14"/>
      <c r="P23" s="77" t="s">
        <v>59</v>
      </c>
      <c r="Q23" s="39"/>
      <c r="R23" s="153" t="str">
        <f>"             tf="&amp;$L$22</f>
        <v>             tf=0.36</v>
      </c>
      <c r="S23" s="39"/>
      <c r="T23" s="32"/>
      <c r="U23" s="64" t="s">
        <v>292</v>
      </c>
      <c r="V23" s="42"/>
      <c r="W23" s="62" t="s">
        <v>37</v>
      </c>
      <c r="X23" s="24"/>
      <c r="Y23" s="29"/>
      <c r="Z23" s="24"/>
      <c r="AA23" s="24"/>
      <c r="AB23" s="32"/>
      <c r="AC23" s="32"/>
      <c r="AD23" s="32"/>
      <c r="AE23" s="32"/>
      <c r="AF23" s="79"/>
      <c r="AG23" s="79"/>
      <c r="AH23" s="79"/>
      <c r="AI23" s="327" t="s">
        <v>373</v>
      </c>
      <c r="AJ23" s="328">
        <v>40.8</v>
      </c>
      <c r="AK23" s="330">
        <v>1.22</v>
      </c>
      <c r="AL23" s="328">
        <v>12.2</v>
      </c>
      <c r="AM23" s="330">
        <v>2.13</v>
      </c>
      <c r="AN23" s="330">
        <v>3.31</v>
      </c>
      <c r="AO23" s="331">
        <v>1210</v>
      </c>
      <c r="AP23" s="331">
        <v>1430</v>
      </c>
      <c r="AQ23" s="13">
        <v>19</v>
      </c>
      <c r="AR23" s="318" t="s">
        <v>144</v>
      </c>
      <c r="AS23" s="319">
        <v>22.1</v>
      </c>
      <c r="AT23" s="179">
        <v>6.49</v>
      </c>
      <c r="AU23" s="179">
        <v>8</v>
      </c>
      <c r="AV23" s="179">
        <v>4</v>
      </c>
      <c r="AW23" s="179">
        <v>0.5625</v>
      </c>
      <c r="AX23" s="320">
        <v>1.0625</v>
      </c>
      <c r="AY23" s="318">
        <v>1.0625</v>
      </c>
      <c r="AZ23" s="319">
        <v>0.878</v>
      </c>
      <c r="BA23" s="179">
        <v>2.86</v>
      </c>
      <c r="BB23" s="179">
        <v>0.405</v>
      </c>
      <c r="BC23" s="179">
        <v>2.23</v>
      </c>
      <c r="BD23" s="179">
        <v>42.9</v>
      </c>
      <c r="BE23" s="320">
        <v>14.6</v>
      </c>
      <c r="BF23" s="318">
        <v>8.34</v>
      </c>
      <c r="BG23" s="319">
        <v>2.57</v>
      </c>
      <c r="BH23" s="179">
        <v>7.44</v>
      </c>
      <c r="BI23" s="179">
        <v>4.39</v>
      </c>
      <c r="BJ23" s="179">
        <v>2.38</v>
      </c>
      <c r="BK23" s="179">
        <v>1.07</v>
      </c>
      <c r="BL23" s="320">
        <v>0.859</v>
      </c>
      <c r="BM23" s="318">
        <v>0.704</v>
      </c>
      <c r="BN23" s="319">
        <v>2.53</v>
      </c>
      <c r="BO23" s="179">
        <v>3.84</v>
      </c>
      <c r="BP23" s="179">
        <v>0</v>
      </c>
      <c r="BQ23" s="179">
        <v>0.264</v>
      </c>
      <c r="BR23" s="179">
        <v>0.9591681136373977</v>
      </c>
      <c r="BS23" s="320">
        <v>5.48</v>
      </c>
    </row>
    <row r="24" spans="1:71" ht="12.75">
      <c r="A24" s="19"/>
      <c r="B24" s="38" t="s">
        <v>271</v>
      </c>
      <c r="C24" s="207">
        <v>0.25</v>
      </c>
      <c r="D24" s="201" t="s">
        <v>19</v>
      </c>
      <c r="E24" s="49" t="s">
        <v>337</v>
      </c>
      <c r="F24" s="14"/>
      <c r="G24" s="14"/>
      <c r="H24" s="14"/>
      <c r="I24" s="14"/>
      <c r="J24" s="15"/>
      <c r="K24" s="54" t="s">
        <v>15</v>
      </c>
      <c r="L24" s="3">
        <f>VLOOKUP($N$10,$AI$6:$AP$406,7,FALSE)</f>
        <v>23.2</v>
      </c>
      <c r="M24" s="101" t="s">
        <v>27</v>
      </c>
      <c r="N24" s="14"/>
      <c r="O24" s="14"/>
      <c r="P24" s="77" t="s">
        <v>60</v>
      </c>
      <c r="Q24" s="39"/>
      <c r="R24" s="39"/>
      <c r="S24" s="39"/>
      <c r="T24" s="32"/>
      <c r="U24" s="29"/>
      <c r="V24" s="42"/>
      <c r="W24" s="48" t="s">
        <v>765</v>
      </c>
      <c r="X24" s="36">
        <f>IF($N$13="Yes",2.5*$L$23*$N$15*$L$20/1.5,"N.A.")</f>
        <v>13.200000000000001</v>
      </c>
      <c r="Y24" s="26" t="s">
        <v>9</v>
      </c>
      <c r="Z24" s="41" t="s">
        <v>766</v>
      </c>
      <c r="AA24" s="32"/>
      <c r="AB24" s="32"/>
      <c r="AC24" s="32"/>
      <c r="AD24" s="32"/>
      <c r="AE24" s="32"/>
      <c r="AF24" s="79"/>
      <c r="AG24" s="79"/>
      <c r="AH24" s="79"/>
      <c r="AI24" s="327" t="s">
        <v>374</v>
      </c>
      <c r="AJ24" s="328">
        <v>40.8</v>
      </c>
      <c r="AK24" s="330">
        <v>1.18</v>
      </c>
      <c r="AL24" s="328">
        <v>12.1</v>
      </c>
      <c r="AM24" s="330">
        <v>2.13</v>
      </c>
      <c r="AN24" s="330">
        <v>3.31</v>
      </c>
      <c r="AO24" s="331">
        <v>1200</v>
      </c>
      <c r="AP24" s="331">
        <v>1410</v>
      </c>
      <c r="AQ24" s="13">
        <v>20</v>
      </c>
      <c r="AR24" s="318" t="s">
        <v>145</v>
      </c>
      <c r="AS24" s="319">
        <v>19.7</v>
      </c>
      <c r="AT24" s="179">
        <v>5.8</v>
      </c>
      <c r="AU24" s="179">
        <v>8</v>
      </c>
      <c r="AV24" s="179">
        <v>4</v>
      </c>
      <c r="AW24" s="179">
        <v>0.5</v>
      </c>
      <c r="AX24" s="320">
        <v>1</v>
      </c>
      <c r="AY24" s="318">
        <v>1</v>
      </c>
      <c r="AZ24" s="319">
        <v>0.854</v>
      </c>
      <c r="BA24" s="179">
        <v>2.84</v>
      </c>
      <c r="BB24" s="179">
        <v>0.363</v>
      </c>
      <c r="BC24" s="179">
        <v>2.2</v>
      </c>
      <c r="BD24" s="179">
        <v>38.6</v>
      </c>
      <c r="BE24" s="320">
        <v>13.1</v>
      </c>
      <c r="BF24" s="318">
        <v>7.48</v>
      </c>
      <c r="BG24" s="319">
        <v>2.58</v>
      </c>
      <c r="BH24" s="179">
        <v>6.75</v>
      </c>
      <c r="BI24" s="179">
        <v>3.91</v>
      </c>
      <c r="BJ24" s="179">
        <v>2.15</v>
      </c>
      <c r="BK24" s="179">
        <v>1.08</v>
      </c>
      <c r="BL24" s="320">
        <v>0.863</v>
      </c>
      <c r="BM24" s="318">
        <v>0.501</v>
      </c>
      <c r="BN24" s="319">
        <v>1.8</v>
      </c>
      <c r="BO24" s="179">
        <v>3.86</v>
      </c>
      <c r="BP24" s="179">
        <v>0</v>
      </c>
      <c r="BQ24" s="179">
        <v>0.266</v>
      </c>
      <c r="BR24" s="179">
        <v>0.9115641278420724</v>
      </c>
      <c r="BS24" s="320">
        <v>5.48</v>
      </c>
    </row>
    <row r="25" spans="1:71" ht="12.75">
      <c r="A25" s="19"/>
      <c r="B25" s="38" t="s">
        <v>325</v>
      </c>
      <c r="C25" s="282">
        <v>12</v>
      </c>
      <c r="D25" s="337" t="s">
        <v>1</v>
      </c>
      <c r="E25" s="47" t="s">
        <v>316</v>
      </c>
      <c r="F25" s="14"/>
      <c r="G25" s="14"/>
      <c r="H25" s="47" t="s">
        <v>51</v>
      </c>
      <c r="I25" s="39"/>
      <c r="J25" s="15"/>
      <c r="K25" s="54" t="s">
        <v>349</v>
      </c>
      <c r="L25" s="3">
        <f>VLOOKUP($N$10,$AI$6:$AP$406,8,FALSE)</f>
        <v>26</v>
      </c>
      <c r="M25" s="101" t="s">
        <v>27</v>
      </c>
      <c r="N25" s="14"/>
      <c r="O25" s="39"/>
      <c r="P25" s="152"/>
      <c r="Q25" s="39"/>
      <c r="R25" s="39"/>
      <c r="S25" s="39"/>
      <c r="T25" s="32"/>
      <c r="U25" s="29"/>
      <c r="V25" s="42"/>
      <c r="W25" s="48" t="s">
        <v>767</v>
      </c>
      <c r="X25" s="36">
        <f>IF($N$13="Yes",$N$15*$L$20/1.5,"N.A.")</f>
        <v>8</v>
      </c>
      <c r="Y25" s="79" t="s">
        <v>44</v>
      </c>
      <c r="Z25" s="41" t="s">
        <v>768</v>
      </c>
      <c r="AA25" s="32"/>
      <c r="AB25" s="32"/>
      <c r="AC25" s="32"/>
      <c r="AD25" s="32"/>
      <c r="AE25" s="32"/>
      <c r="AF25" s="79"/>
      <c r="AG25" s="79"/>
      <c r="AH25" s="79"/>
      <c r="AI25" s="327" t="s">
        <v>375</v>
      </c>
      <c r="AJ25" s="328">
        <v>40.4</v>
      </c>
      <c r="AK25" s="330">
        <v>1.06</v>
      </c>
      <c r="AL25" s="328">
        <v>12</v>
      </c>
      <c r="AM25" s="330">
        <v>1.93</v>
      </c>
      <c r="AN25" s="330">
        <v>3.11</v>
      </c>
      <c r="AO25" s="331">
        <v>1080</v>
      </c>
      <c r="AP25" s="341">
        <v>1270</v>
      </c>
      <c r="AQ25" s="13">
        <v>21</v>
      </c>
      <c r="AR25" s="318" t="s">
        <v>146</v>
      </c>
      <c r="AS25" s="319">
        <v>17.4</v>
      </c>
      <c r="AT25" s="179">
        <v>5.11</v>
      </c>
      <c r="AU25" s="179">
        <v>8</v>
      </c>
      <c r="AV25" s="179">
        <v>4</v>
      </c>
      <c r="AW25" s="179">
        <v>0.4375</v>
      </c>
      <c r="AX25" s="320">
        <v>0.9375</v>
      </c>
      <c r="AY25" s="318">
        <v>0.9375</v>
      </c>
      <c r="AZ25" s="319">
        <v>0.829</v>
      </c>
      <c r="BA25" s="179">
        <v>2.81</v>
      </c>
      <c r="BB25" s="179">
        <v>0.32</v>
      </c>
      <c r="BC25" s="179">
        <v>2.16</v>
      </c>
      <c r="BD25" s="179">
        <v>34.2</v>
      </c>
      <c r="BE25" s="320">
        <v>11.6</v>
      </c>
      <c r="BF25" s="318">
        <v>6.59</v>
      </c>
      <c r="BG25" s="319">
        <v>2.59</v>
      </c>
      <c r="BH25" s="179">
        <v>6.03</v>
      </c>
      <c r="BI25" s="179">
        <v>3.42</v>
      </c>
      <c r="BJ25" s="179">
        <v>1.9</v>
      </c>
      <c r="BK25" s="179">
        <v>1.09</v>
      </c>
      <c r="BL25" s="320">
        <v>0.867</v>
      </c>
      <c r="BM25" s="318">
        <v>0.34</v>
      </c>
      <c r="BN25" s="319">
        <v>1.22</v>
      </c>
      <c r="BO25" s="179">
        <v>3.87</v>
      </c>
      <c r="BP25" s="179">
        <v>0</v>
      </c>
      <c r="BQ25" s="179">
        <v>0.268</v>
      </c>
      <c r="BR25" s="179">
        <v>0.8503590032480828</v>
      </c>
      <c r="BS25" s="320">
        <v>5.48</v>
      </c>
    </row>
    <row r="26" spans="1:71" ht="12.75">
      <c r="A26" s="19"/>
      <c r="B26" s="14"/>
      <c r="C26" s="14"/>
      <c r="D26" s="14"/>
      <c r="E26" s="47" t="s">
        <v>335</v>
      </c>
      <c r="F26" s="281">
        <f>O19</f>
        <v>4</v>
      </c>
      <c r="G26" s="101" t="s">
        <v>19</v>
      </c>
      <c r="H26" s="47" t="s">
        <v>52</v>
      </c>
      <c r="I26" s="131">
        <f aca="true" t="shared" si="0" ref="I26:I33">L19</f>
        <v>10.2</v>
      </c>
      <c r="J26" s="284" t="s">
        <v>19</v>
      </c>
      <c r="K26" s="54" t="s">
        <v>350</v>
      </c>
      <c r="L26" s="3">
        <f>$L$25/$L$24</f>
        <v>1.120689655172414</v>
      </c>
      <c r="M26" s="14"/>
      <c r="N26" s="14"/>
      <c r="O26" s="14"/>
      <c r="P26" s="155" t="s">
        <v>62</v>
      </c>
      <c r="Q26" s="14"/>
      <c r="R26" s="14"/>
      <c r="S26" s="14"/>
      <c r="T26" s="32"/>
      <c r="U26" s="29"/>
      <c r="V26" s="42"/>
      <c r="W26" s="48" t="s">
        <v>769</v>
      </c>
      <c r="X26" s="3">
        <f>IF($N$13="Yes",(0.4*$L$20^2*SQRT(29000*$N$15*$L$22/$L$20))/2,"N.A.")</f>
        <v>16.98955914672303</v>
      </c>
      <c r="Y26" s="26" t="s">
        <v>9</v>
      </c>
      <c r="Z26" s="41" t="s">
        <v>770</v>
      </c>
      <c r="AA26" s="32"/>
      <c r="AB26" s="32"/>
      <c r="AC26" s="32"/>
      <c r="AD26" s="32"/>
      <c r="AE26" s="24"/>
      <c r="AF26" s="26"/>
      <c r="AG26" s="342"/>
      <c r="AH26" s="342"/>
      <c r="AI26" s="327" t="s">
        <v>376</v>
      </c>
      <c r="AJ26" s="328">
        <v>40.2</v>
      </c>
      <c r="AK26" s="330">
        <v>1.03</v>
      </c>
      <c r="AL26" s="328">
        <v>12</v>
      </c>
      <c r="AM26" s="330">
        <v>1.81</v>
      </c>
      <c r="AN26" s="330">
        <v>2.99</v>
      </c>
      <c r="AO26" s="331">
        <v>1020</v>
      </c>
      <c r="AP26" s="331">
        <v>1190</v>
      </c>
      <c r="AQ26" s="13">
        <v>22</v>
      </c>
      <c r="AR26" s="318" t="s">
        <v>147</v>
      </c>
      <c r="AS26" s="319">
        <v>26.2</v>
      </c>
      <c r="AT26" s="179">
        <v>7.7</v>
      </c>
      <c r="AU26" s="179">
        <v>7</v>
      </c>
      <c r="AV26" s="179">
        <v>4</v>
      </c>
      <c r="AW26" s="179">
        <v>0.75</v>
      </c>
      <c r="AX26" s="320">
        <v>1.25</v>
      </c>
      <c r="AY26" s="318">
        <v>1.25</v>
      </c>
      <c r="AZ26" s="319">
        <v>1</v>
      </c>
      <c r="BA26" s="179">
        <v>2.5</v>
      </c>
      <c r="BB26" s="179">
        <v>0.55</v>
      </c>
      <c r="BC26" s="179">
        <v>1.87</v>
      </c>
      <c r="BD26" s="179">
        <v>37.8</v>
      </c>
      <c r="BE26" s="320">
        <v>14.8</v>
      </c>
      <c r="BF26" s="318">
        <v>8.39</v>
      </c>
      <c r="BG26" s="319">
        <v>2.21</v>
      </c>
      <c r="BH26" s="179">
        <v>9</v>
      </c>
      <c r="BI26" s="179">
        <v>5.6</v>
      </c>
      <c r="BJ26" s="179">
        <v>3.01</v>
      </c>
      <c r="BK26" s="179">
        <v>1.08</v>
      </c>
      <c r="BL26" s="320">
        <v>0.855</v>
      </c>
      <c r="BM26" s="318">
        <v>1.47</v>
      </c>
      <c r="BN26" s="319">
        <v>3.97</v>
      </c>
      <c r="BO26" s="179">
        <v>3.31</v>
      </c>
      <c r="BP26" s="179">
        <v>0</v>
      </c>
      <c r="BQ26" s="179">
        <v>0.324</v>
      </c>
      <c r="BR26" s="179">
        <v>1</v>
      </c>
      <c r="BS26" s="320">
        <v>4.37</v>
      </c>
    </row>
    <row r="27" spans="1:71" ht="12.75">
      <c r="A27" s="19"/>
      <c r="B27" s="14"/>
      <c r="C27" s="14"/>
      <c r="D27" s="14"/>
      <c r="E27" s="47" t="s">
        <v>336</v>
      </c>
      <c r="F27" s="259">
        <f>O20</f>
        <v>6</v>
      </c>
      <c r="G27" s="101" t="s">
        <v>19</v>
      </c>
      <c r="H27" s="47" t="s">
        <v>45</v>
      </c>
      <c r="I27" s="132">
        <f t="shared" si="0"/>
        <v>0.24</v>
      </c>
      <c r="J27" s="284" t="s">
        <v>19</v>
      </c>
      <c r="K27" s="19"/>
      <c r="L27" s="14"/>
      <c r="M27" s="14"/>
      <c r="N27" s="14"/>
      <c r="O27" s="14"/>
      <c r="P27" s="14"/>
      <c r="Q27" s="14"/>
      <c r="R27" s="14"/>
      <c r="S27" s="14"/>
      <c r="T27" s="32"/>
      <c r="U27" s="29"/>
      <c r="V27" s="42"/>
      <c r="W27" s="24"/>
      <c r="X27" s="24"/>
      <c r="Y27" s="29"/>
      <c r="Z27" s="297" t="s">
        <v>771</v>
      </c>
      <c r="AA27" s="24"/>
      <c r="AB27" s="24"/>
      <c r="AC27" s="24"/>
      <c r="AD27" s="24"/>
      <c r="AE27" s="32"/>
      <c r="AF27" s="342"/>
      <c r="AG27" s="343"/>
      <c r="AH27" s="343"/>
      <c r="AI27" s="327" t="s">
        <v>377</v>
      </c>
      <c r="AJ27" s="328">
        <v>40</v>
      </c>
      <c r="AK27" s="329">
        <v>0.96</v>
      </c>
      <c r="AL27" s="328">
        <v>11.9</v>
      </c>
      <c r="AM27" s="330">
        <v>1.73</v>
      </c>
      <c r="AN27" s="330">
        <v>2.91</v>
      </c>
      <c r="AO27" s="331">
        <v>971</v>
      </c>
      <c r="AP27" s="331">
        <v>1130</v>
      </c>
      <c r="AQ27" s="13">
        <v>23</v>
      </c>
      <c r="AR27" s="318" t="s">
        <v>148</v>
      </c>
      <c r="AS27" s="319">
        <v>22.1</v>
      </c>
      <c r="AT27" s="179">
        <v>6.5</v>
      </c>
      <c r="AU27" s="179">
        <v>7</v>
      </c>
      <c r="AV27" s="179">
        <v>4</v>
      </c>
      <c r="AW27" s="179">
        <v>0.625</v>
      </c>
      <c r="AX27" s="320">
        <v>1.125</v>
      </c>
      <c r="AY27" s="318">
        <v>1.125</v>
      </c>
      <c r="AZ27" s="319">
        <v>0.958</v>
      </c>
      <c r="BA27" s="179">
        <v>2.45</v>
      </c>
      <c r="BB27" s="179">
        <v>0.464</v>
      </c>
      <c r="BC27" s="179">
        <v>1.8</v>
      </c>
      <c r="BD27" s="179">
        <v>32.4</v>
      </c>
      <c r="BE27" s="320">
        <v>12.5</v>
      </c>
      <c r="BF27" s="318">
        <v>7.12</v>
      </c>
      <c r="BG27" s="319">
        <v>2.23</v>
      </c>
      <c r="BH27" s="179">
        <v>7.79</v>
      </c>
      <c r="BI27" s="179">
        <v>4.69</v>
      </c>
      <c r="BJ27" s="179">
        <v>2.56</v>
      </c>
      <c r="BK27" s="179">
        <v>1.1</v>
      </c>
      <c r="BL27" s="320">
        <v>0.86</v>
      </c>
      <c r="BM27" s="318">
        <v>0.868</v>
      </c>
      <c r="BN27" s="319">
        <v>2.37</v>
      </c>
      <c r="BO27" s="179">
        <v>3.34</v>
      </c>
      <c r="BP27" s="179">
        <v>0</v>
      </c>
      <c r="BQ27" s="179">
        <v>0.329</v>
      </c>
      <c r="BR27" s="179">
        <v>1</v>
      </c>
      <c r="BS27" s="320">
        <v>4.37</v>
      </c>
    </row>
    <row r="28" spans="1:71" ht="12.75">
      <c r="A28" s="52" t="s">
        <v>20</v>
      </c>
      <c r="E28" s="47" t="s">
        <v>317</v>
      </c>
      <c r="F28" s="287">
        <f>O21</f>
        <v>0.375</v>
      </c>
      <c r="G28" s="101" t="s">
        <v>19</v>
      </c>
      <c r="H28" s="47" t="s">
        <v>29</v>
      </c>
      <c r="I28" s="132">
        <f t="shared" si="0"/>
        <v>5.75</v>
      </c>
      <c r="J28" s="284" t="s">
        <v>19</v>
      </c>
      <c r="K28" s="52"/>
      <c r="L28" s="14"/>
      <c r="M28" s="14"/>
      <c r="N28" s="14"/>
      <c r="O28" s="14"/>
      <c r="P28" s="39"/>
      <c r="Q28" s="39"/>
      <c r="R28" s="39"/>
      <c r="S28" s="39"/>
      <c r="T28" s="32"/>
      <c r="U28" s="29"/>
      <c r="V28" s="48"/>
      <c r="W28" s="48" t="s">
        <v>772</v>
      </c>
      <c r="X28" s="3">
        <f>IF($N$13="Yes",(0.4*$L$20^2*(3/$L$19)*($L$20/$L$22)^1.5*SQRT(29000*$N$15*$L$22/$L$20))/2,"N.A.")</f>
        <v>2.7199837166213183</v>
      </c>
      <c r="Y28" s="79" t="s">
        <v>44</v>
      </c>
      <c r="Z28" s="41" t="s">
        <v>773</v>
      </c>
      <c r="AA28" s="32"/>
      <c r="AB28" s="32"/>
      <c r="AC28" s="32"/>
      <c r="AD28" s="32"/>
      <c r="AE28" s="32"/>
      <c r="AF28" s="343"/>
      <c r="AG28" s="32"/>
      <c r="AH28" s="32"/>
      <c r="AI28" s="327" t="s">
        <v>378</v>
      </c>
      <c r="AJ28" s="328">
        <v>39.7</v>
      </c>
      <c r="AK28" s="329">
        <v>0.83</v>
      </c>
      <c r="AL28" s="328">
        <v>11.9</v>
      </c>
      <c r="AM28" s="330">
        <v>1.58</v>
      </c>
      <c r="AN28" s="330">
        <v>2.76</v>
      </c>
      <c r="AO28" s="331">
        <v>875</v>
      </c>
      <c r="AP28" s="331">
        <v>1010</v>
      </c>
      <c r="AQ28" s="13">
        <v>24</v>
      </c>
      <c r="AR28" s="318" t="s">
        <v>149</v>
      </c>
      <c r="AS28" s="319">
        <v>17.9</v>
      </c>
      <c r="AT28" s="179">
        <v>5.26</v>
      </c>
      <c r="AU28" s="179">
        <v>7</v>
      </c>
      <c r="AV28" s="179">
        <v>4</v>
      </c>
      <c r="AW28" s="179">
        <v>0.5</v>
      </c>
      <c r="AX28" s="320">
        <v>1</v>
      </c>
      <c r="AY28" s="318">
        <v>1</v>
      </c>
      <c r="AZ28" s="319">
        <v>0.91</v>
      </c>
      <c r="BA28" s="179">
        <v>2.4</v>
      </c>
      <c r="BB28" s="179">
        <v>0.376</v>
      </c>
      <c r="BC28" s="179">
        <v>1.74</v>
      </c>
      <c r="BD28" s="179">
        <v>26.6</v>
      </c>
      <c r="BE28" s="320">
        <v>10.2</v>
      </c>
      <c r="BF28" s="318">
        <v>5.79</v>
      </c>
      <c r="BG28" s="319">
        <v>2.25</v>
      </c>
      <c r="BH28" s="179">
        <v>6.48</v>
      </c>
      <c r="BI28" s="179">
        <v>3.77</v>
      </c>
      <c r="BJ28" s="179">
        <v>2.1</v>
      </c>
      <c r="BK28" s="179">
        <v>1.11</v>
      </c>
      <c r="BL28" s="320">
        <v>0.866</v>
      </c>
      <c r="BM28" s="318">
        <v>0.456</v>
      </c>
      <c r="BN28" s="319">
        <v>1.25</v>
      </c>
      <c r="BO28" s="179">
        <v>3.37</v>
      </c>
      <c r="BP28" s="179">
        <v>0</v>
      </c>
      <c r="BQ28" s="179">
        <v>0.334</v>
      </c>
      <c r="BR28" s="179">
        <v>0.9651186118618134</v>
      </c>
      <c r="BS28" s="320">
        <v>4.37</v>
      </c>
    </row>
    <row r="29" spans="1:71" ht="12.75">
      <c r="A29" s="19"/>
      <c r="E29" s="14"/>
      <c r="F29" s="14"/>
      <c r="G29" s="14"/>
      <c r="H29" s="47" t="s">
        <v>43</v>
      </c>
      <c r="I29" s="132">
        <f t="shared" si="0"/>
        <v>0.36</v>
      </c>
      <c r="J29" s="284" t="s">
        <v>19</v>
      </c>
      <c r="K29" s="19"/>
      <c r="L29" s="14"/>
      <c r="M29" s="14"/>
      <c r="N29" s="14"/>
      <c r="O29" s="14"/>
      <c r="P29" s="39"/>
      <c r="Q29" s="39"/>
      <c r="R29" s="39"/>
      <c r="S29" s="39"/>
      <c r="T29" s="32"/>
      <c r="U29" s="29"/>
      <c r="V29" s="48"/>
      <c r="W29" s="24"/>
      <c r="X29" s="24"/>
      <c r="Y29" s="29"/>
      <c r="Z29" s="297" t="s">
        <v>771</v>
      </c>
      <c r="AA29" s="24"/>
      <c r="AB29" s="24"/>
      <c r="AC29" s="24"/>
      <c r="AD29" s="32"/>
      <c r="AE29" s="32"/>
      <c r="AF29" s="32"/>
      <c r="AG29" s="135"/>
      <c r="AH29" s="135"/>
      <c r="AI29" s="327" t="s">
        <v>379</v>
      </c>
      <c r="AJ29" s="328">
        <v>39.4</v>
      </c>
      <c r="AK29" s="329">
        <v>0.75</v>
      </c>
      <c r="AL29" s="328">
        <v>11.8</v>
      </c>
      <c r="AM29" s="330">
        <v>1.42</v>
      </c>
      <c r="AN29" s="330">
        <v>2.6</v>
      </c>
      <c r="AO29" s="331">
        <v>786</v>
      </c>
      <c r="AP29" s="331">
        <v>906</v>
      </c>
      <c r="AQ29" s="13">
        <v>25</v>
      </c>
      <c r="AR29" s="318" t="s">
        <v>150</v>
      </c>
      <c r="AS29" s="319">
        <v>15.8</v>
      </c>
      <c r="AT29" s="179">
        <v>4.63</v>
      </c>
      <c r="AU29" s="179">
        <v>7</v>
      </c>
      <c r="AV29" s="179">
        <v>4</v>
      </c>
      <c r="AW29" s="179">
        <v>0.4375</v>
      </c>
      <c r="AX29" s="320">
        <v>0.9375</v>
      </c>
      <c r="AY29" s="318">
        <v>0.9375</v>
      </c>
      <c r="AZ29" s="319">
        <v>0.886</v>
      </c>
      <c r="BA29" s="179">
        <v>2.38</v>
      </c>
      <c r="BB29" s="179">
        <v>0.331</v>
      </c>
      <c r="BC29" s="179">
        <v>1.7</v>
      </c>
      <c r="BD29" s="179">
        <v>23.6</v>
      </c>
      <c r="BE29" s="320">
        <v>9.03</v>
      </c>
      <c r="BF29" s="318">
        <v>5.11</v>
      </c>
      <c r="BG29" s="319">
        <v>2.26</v>
      </c>
      <c r="BH29" s="179">
        <v>5.79</v>
      </c>
      <c r="BI29" s="179">
        <v>3.31</v>
      </c>
      <c r="BJ29" s="179">
        <v>1.86</v>
      </c>
      <c r="BK29" s="179">
        <v>1.12</v>
      </c>
      <c r="BL29" s="320">
        <v>0.869</v>
      </c>
      <c r="BM29" s="318">
        <v>0.31</v>
      </c>
      <c r="BN29" s="319">
        <v>0.851</v>
      </c>
      <c r="BO29" s="179">
        <v>3.39</v>
      </c>
      <c r="BP29" s="179">
        <v>0</v>
      </c>
      <c r="BQ29" s="179">
        <v>0.337</v>
      </c>
      <c r="BR29" s="179">
        <v>0.9115641278420724</v>
      </c>
      <c r="BS29" s="320">
        <v>4.37</v>
      </c>
    </row>
    <row r="30" spans="1:71" ht="12.75">
      <c r="A30" s="108" t="s">
        <v>813</v>
      </c>
      <c r="B30" s="14"/>
      <c r="C30" s="14"/>
      <c r="D30" s="14"/>
      <c r="E30" s="14"/>
      <c r="F30" s="14"/>
      <c r="G30" s="14"/>
      <c r="H30" s="51" t="s">
        <v>2</v>
      </c>
      <c r="I30" s="132">
        <f t="shared" si="0"/>
        <v>0.66</v>
      </c>
      <c r="J30" s="284" t="s">
        <v>19</v>
      </c>
      <c r="K30" s="14"/>
      <c r="L30" s="14"/>
      <c r="M30" s="14"/>
      <c r="N30" s="14"/>
      <c r="O30" s="14"/>
      <c r="P30" s="14"/>
      <c r="Q30" s="14"/>
      <c r="R30" s="14"/>
      <c r="S30" s="14"/>
      <c r="T30" s="32"/>
      <c r="U30" s="29"/>
      <c r="V30" s="42"/>
      <c r="W30" s="48" t="s">
        <v>774</v>
      </c>
      <c r="X30" s="3">
        <f>IF($N$13="Yes",(0.4*$L$20^2*(1-0.2*($L$20/$L$22)^1.5)*SQRT(29000*$N$15*$L$22/$L$20))/2,"N.A.")</f>
        <v>15.13997021942053</v>
      </c>
      <c r="Y30" s="26" t="s">
        <v>9</v>
      </c>
      <c r="Z30" s="41" t="s">
        <v>775</v>
      </c>
      <c r="AA30" s="24"/>
      <c r="AB30" s="24"/>
      <c r="AC30" s="24"/>
      <c r="AD30" s="32"/>
      <c r="AE30" s="32"/>
      <c r="AF30" s="135"/>
      <c r="AG30" s="135"/>
      <c r="AH30" s="135"/>
      <c r="AI30" s="327" t="s">
        <v>380</v>
      </c>
      <c r="AJ30" s="328">
        <v>39</v>
      </c>
      <c r="AK30" s="329">
        <v>0.65</v>
      </c>
      <c r="AL30" s="328">
        <v>11.8</v>
      </c>
      <c r="AM30" s="330">
        <v>1.2</v>
      </c>
      <c r="AN30" s="330">
        <v>2.38</v>
      </c>
      <c r="AO30" s="331">
        <v>675</v>
      </c>
      <c r="AP30" s="331">
        <v>774</v>
      </c>
      <c r="AQ30" s="13">
        <v>26</v>
      </c>
      <c r="AR30" s="318" t="s">
        <v>151</v>
      </c>
      <c r="AS30" s="319">
        <v>13.6</v>
      </c>
      <c r="AT30" s="179">
        <v>4</v>
      </c>
      <c r="AU30" s="179">
        <v>7</v>
      </c>
      <c r="AV30" s="179">
        <v>4</v>
      </c>
      <c r="AW30" s="179">
        <v>0.375</v>
      </c>
      <c r="AX30" s="320">
        <v>0.875</v>
      </c>
      <c r="AY30" s="318">
        <v>0.875</v>
      </c>
      <c r="AZ30" s="319">
        <v>0.861</v>
      </c>
      <c r="BA30" s="179">
        <v>2.35</v>
      </c>
      <c r="BB30" s="179">
        <v>0.286</v>
      </c>
      <c r="BC30" s="179">
        <v>1.67</v>
      </c>
      <c r="BD30" s="179">
        <v>20.5</v>
      </c>
      <c r="BE30" s="320">
        <v>7.81</v>
      </c>
      <c r="BF30" s="318">
        <v>4.42</v>
      </c>
      <c r="BG30" s="319">
        <v>2.27</v>
      </c>
      <c r="BH30" s="179">
        <v>5.06</v>
      </c>
      <c r="BI30" s="179">
        <v>2.84</v>
      </c>
      <c r="BJ30" s="179">
        <v>1.61</v>
      </c>
      <c r="BK30" s="179">
        <v>1.12</v>
      </c>
      <c r="BL30" s="320">
        <v>0.873</v>
      </c>
      <c r="BM30" s="318">
        <v>0.198</v>
      </c>
      <c r="BN30" s="319">
        <v>0.544</v>
      </c>
      <c r="BO30" s="179">
        <v>3.4</v>
      </c>
      <c r="BP30" s="179">
        <v>0</v>
      </c>
      <c r="BQ30" s="179">
        <v>0.339</v>
      </c>
      <c r="BR30" s="179">
        <v>0.8401581491490844</v>
      </c>
      <c r="BS30" s="320">
        <v>4.37</v>
      </c>
    </row>
    <row r="31" spans="1:71" ht="12.75">
      <c r="A31" s="54" t="s">
        <v>327</v>
      </c>
      <c r="B31" s="131">
        <f>X45</f>
        <v>2.75</v>
      </c>
      <c r="C31" s="101" t="s">
        <v>19</v>
      </c>
      <c r="D31" s="283" t="s">
        <v>326</v>
      </c>
      <c r="E31" s="14"/>
      <c r="F31" s="14"/>
      <c r="G31" s="14"/>
      <c r="H31" s="47" t="s">
        <v>15</v>
      </c>
      <c r="I31" s="132">
        <f t="shared" si="0"/>
        <v>23.2</v>
      </c>
      <c r="J31" s="284" t="s">
        <v>27</v>
      </c>
      <c r="K31" s="14"/>
      <c r="L31" s="14"/>
      <c r="M31" s="14"/>
      <c r="N31" s="14"/>
      <c r="O31" s="14"/>
      <c r="P31" s="14"/>
      <c r="Q31" s="14"/>
      <c r="R31" s="14"/>
      <c r="S31" s="14"/>
      <c r="T31" s="32"/>
      <c r="U31" s="29"/>
      <c r="V31" s="42"/>
      <c r="W31" s="24"/>
      <c r="X31" s="24"/>
      <c r="Y31" s="29"/>
      <c r="Z31" s="297" t="s">
        <v>771</v>
      </c>
      <c r="AA31" s="24"/>
      <c r="AB31" s="32"/>
      <c r="AC31" s="32"/>
      <c r="AD31" s="32"/>
      <c r="AE31" s="32"/>
      <c r="AF31" s="135"/>
      <c r="AG31" s="135"/>
      <c r="AH31" s="135"/>
      <c r="AI31" s="327" t="s">
        <v>381</v>
      </c>
      <c r="AJ31" s="328">
        <v>38.6</v>
      </c>
      <c r="AK31" s="329">
        <v>0.65</v>
      </c>
      <c r="AL31" s="328">
        <v>11.8</v>
      </c>
      <c r="AM31" s="330">
        <v>1.03</v>
      </c>
      <c r="AN31" s="330">
        <v>2.21</v>
      </c>
      <c r="AO31" s="331">
        <v>600</v>
      </c>
      <c r="AP31" s="331">
        <v>693</v>
      </c>
      <c r="AQ31" s="13">
        <v>27</v>
      </c>
      <c r="AR31" s="318" t="s">
        <v>152</v>
      </c>
      <c r="AS31" s="319">
        <v>37.5</v>
      </c>
      <c r="AT31" s="179">
        <v>11</v>
      </c>
      <c r="AU31" s="179">
        <v>6</v>
      </c>
      <c r="AV31" s="179">
        <v>6</v>
      </c>
      <c r="AW31" s="179">
        <v>1</v>
      </c>
      <c r="AX31" s="320">
        <v>1.5</v>
      </c>
      <c r="AY31" s="318">
        <v>1.5</v>
      </c>
      <c r="AZ31" s="319">
        <v>1.86</v>
      </c>
      <c r="BA31" s="179">
        <v>1.86</v>
      </c>
      <c r="BB31" s="179">
        <v>0.918</v>
      </c>
      <c r="BC31" s="179">
        <v>0.918</v>
      </c>
      <c r="BD31" s="179">
        <v>35.4</v>
      </c>
      <c r="BE31" s="320">
        <v>15.4</v>
      </c>
      <c r="BF31" s="318">
        <v>8.55</v>
      </c>
      <c r="BG31" s="319">
        <v>1.79</v>
      </c>
      <c r="BH31" s="179">
        <v>35.4</v>
      </c>
      <c r="BI31" s="179">
        <v>15.4</v>
      </c>
      <c r="BJ31" s="179">
        <v>8.55</v>
      </c>
      <c r="BK31" s="179">
        <v>1.79</v>
      </c>
      <c r="BL31" s="320">
        <v>1.17</v>
      </c>
      <c r="BM31" s="318">
        <v>3.68</v>
      </c>
      <c r="BN31" s="319">
        <v>9.24</v>
      </c>
      <c r="BO31" s="179">
        <v>3.19</v>
      </c>
      <c r="BP31" s="179">
        <v>0.635</v>
      </c>
      <c r="BQ31" s="179">
        <v>1</v>
      </c>
      <c r="BR31" s="179">
        <v>1</v>
      </c>
      <c r="BS31" s="320">
        <v>0</v>
      </c>
    </row>
    <row r="32" spans="1:71" ht="12.75">
      <c r="A32" s="54" t="s">
        <v>322</v>
      </c>
      <c r="B32" s="132">
        <f>X46</f>
        <v>2.125</v>
      </c>
      <c r="C32" s="101" t="s">
        <v>19</v>
      </c>
      <c r="D32" s="283" t="s">
        <v>323</v>
      </c>
      <c r="F32" s="14"/>
      <c r="G32" s="14"/>
      <c r="H32" s="47" t="s">
        <v>349</v>
      </c>
      <c r="I32" s="132">
        <f t="shared" si="0"/>
        <v>26</v>
      </c>
      <c r="J32" s="284" t="s">
        <v>351</v>
      </c>
      <c r="K32" s="14"/>
      <c r="L32" s="14"/>
      <c r="M32" s="14"/>
      <c r="N32" s="14"/>
      <c r="O32" s="14"/>
      <c r="P32" s="14"/>
      <c r="Q32" s="14"/>
      <c r="R32" s="14"/>
      <c r="S32" s="14"/>
      <c r="T32" s="32"/>
      <c r="U32" s="29"/>
      <c r="V32" s="42"/>
      <c r="W32" s="48" t="s">
        <v>776</v>
      </c>
      <c r="X32" s="3">
        <f>IF($N$13="Yes",(0.4*$L$20^2*(4/$L$19)*($L$20/$L$22)^1.5*SQRT(29000*$N$15*$L$22/$L$20))/2,"N.A.")</f>
        <v>3.6266449554950912</v>
      </c>
      <c r="Y32" s="79" t="s">
        <v>44</v>
      </c>
      <c r="Z32" s="41" t="s">
        <v>777</v>
      </c>
      <c r="AA32" s="24"/>
      <c r="AB32" s="24"/>
      <c r="AC32" s="24"/>
      <c r="AD32" s="32"/>
      <c r="AE32" s="32"/>
      <c r="AF32" s="135"/>
      <c r="AG32" s="135"/>
      <c r="AH32" s="135"/>
      <c r="AI32" s="327" t="s">
        <v>382</v>
      </c>
      <c r="AJ32" s="328">
        <v>38.2</v>
      </c>
      <c r="AK32" s="329">
        <v>0.63</v>
      </c>
      <c r="AL32" s="328">
        <v>11.8</v>
      </c>
      <c r="AM32" s="329">
        <v>0.83</v>
      </c>
      <c r="AN32" s="330">
        <v>2.01</v>
      </c>
      <c r="AO32" s="331">
        <v>513</v>
      </c>
      <c r="AP32" s="331">
        <v>598</v>
      </c>
      <c r="AQ32" s="13">
        <v>28</v>
      </c>
      <c r="AR32" s="318" t="s">
        <v>153</v>
      </c>
      <c r="AS32" s="319">
        <v>33.2</v>
      </c>
      <c r="AT32" s="179">
        <v>9.75</v>
      </c>
      <c r="AU32" s="179">
        <v>6</v>
      </c>
      <c r="AV32" s="179">
        <v>6</v>
      </c>
      <c r="AW32" s="179">
        <v>0.875</v>
      </c>
      <c r="AX32" s="320">
        <v>1.375</v>
      </c>
      <c r="AY32" s="318">
        <v>1.375</v>
      </c>
      <c r="AZ32" s="319">
        <v>1.81</v>
      </c>
      <c r="BA32" s="179">
        <v>1.81</v>
      </c>
      <c r="BB32" s="179">
        <v>0.813</v>
      </c>
      <c r="BC32" s="179">
        <v>0.813</v>
      </c>
      <c r="BD32" s="179">
        <v>31.9</v>
      </c>
      <c r="BE32" s="320">
        <v>13.7</v>
      </c>
      <c r="BF32" s="318">
        <v>7.61</v>
      </c>
      <c r="BG32" s="319">
        <v>1.81</v>
      </c>
      <c r="BH32" s="179">
        <v>31.9</v>
      </c>
      <c r="BI32" s="179">
        <v>13.7</v>
      </c>
      <c r="BJ32" s="179">
        <v>7.61</v>
      </c>
      <c r="BK32" s="179">
        <v>1.81</v>
      </c>
      <c r="BL32" s="320">
        <v>1.17</v>
      </c>
      <c r="BM32" s="318">
        <v>2.51</v>
      </c>
      <c r="BN32" s="319">
        <v>6.41</v>
      </c>
      <c r="BO32" s="179">
        <v>3.21</v>
      </c>
      <c r="BP32" s="179">
        <v>0.635</v>
      </c>
      <c r="BQ32" s="179">
        <v>1</v>
      </c>
      <c r="BR32" s="179">
        <v>1</v>
      </c>
      <c r="BS32" s="320">
        <v>0</v>
      </c>
    </row>
    <row r="33" spans="1:71" ht="12.75">
      <c r="A33" s="54" t="s">
        <v>321</v>
      </c>
      <c r="B33" s="132">
        <f>X47</f>
        <v>1.375</v>
      </c>
      <c r="C33" s="101" t="s">
        <v>19</v>
      </c>
      <c r="D33" s="283" t="s">
        <v>324</v>
      </c>
      <c r="E33" s="14"/>
      <c r="F33" s="14"/>
      <c r="G33" s="14"/>
      <c r="H33" s="47" t="s">
        <v>350</v>
      </c>
      <c r="I33" s="133">
        <f t="shared" si="0"/>
        <v>1.120689655172414</v>
      </c>
      <c r="J33" s="284" t="s">
        <v>352</v>
      </c>
      <c r="K33" s="14"/>
      <c r="L33" s="14"/>
      <c r="M33" s="14"/>
      <c r="N33" s="14"/>
      <c r="O33" s="14"/>
      <c r="P33" s="14"/>
      <c r="Q33" s="14"/>
      <c r="R33" s="14"/>
      <c r="S33" s="14"/>
      <c r="T33" s="32"/>
      <c r="U33" s="29"/>
      <c r="V33" s="42"/>
      <c r="W33" s="24"/>
      <c r="X33" s="24"/>
      <c r="Y33" s="29"/>
      <c r="Z33" s="297" t="s">
        <v>771</v>
      </c>
      <c r="AA33" s="24"/>
      <c r="AB33" s="24"/>
      <c r="AC33" s="24"/>
      <c r="AD33" s="24"/>
      <c r="AE33" s="32"/>
      <c r="AF33" s="135"/>
      <c r="AG33" s="135"/>
      <c r="AH33" s="135"/>
      <c r="AI33" s="327" t="s">
        <v>383</v>
      </c>
      <c r="AJ33" s="328">
        <v>42.6</v>
      </c>
      <c r="AK33" s="330">
        <v>2.38</v>
      </c>
      <c r="AL33" s="328">
        <v>18</v>
      </c>
      <c r="AM33" s="330">
        <v>4.29</v>
      </c>
      <c r="AN33" s="330">
        <v>5.24</v>
      </c>
      <c r="AO33" s="331">
        <v>3040</v>
      </c>
      <c r="AP33" s="331">
        <v>3650</v>
      </c>
      <c r="AQ33" s="13">
        <v>29</v>
      </c>
      <c r="AR33" s="318" t="s">
        <v>154</v>
      </c>
      <c r="AS33" s="319">
        <v>28.8</v>
      </c>
      <c r="AT33" s="179">
        <v>8.46</v>
      </c>
      <c r="AU33" s="179">
        <v>6</v>
      </c>
      <c r="AV33" s="179">
        <v>6</v>
      </c>
      <c r="AW33" s="179">
        <v>0.75</v>
      </c>
      <c r="AX33" s="320">
        <v>1.25</v>
      </c>
      <c r="AY33" s="318">
        <v>1.25</v>
      </c>
      <c r="AZ33" s="319">
        <v>1.77</v>
      </c>
      <c r="BA33" s="179">
        <v>1.77</v>
      </c>
      <c r="BB33" s="179">
        <v>0.705</v>
      </c>
      <c r="BC33" s="179">
        <v>0.705</v>
      </c>
      <c r="BD33" s="179">
        <v>28.1</v>
      </c>
      <c r="BE33" s="320">
        <v>11.9</v>
      </c>
      <c r="BF33" s="318">
        <v>6.64</v>
      </c>
      <c r="BG33" s="319">
        <v>1.82</v>
      </c>
      <c r="BH33" s="179">
        <v>28.1</v>
      </c>
      <c r="BI33" s="179">
        <v>11.9</v>
      </c>
      <c r="BJ33" s="179">
        <v>6.64</v>
      </c>
      <c r="BK33" s="179">
        <v>1.82</v>
      </c>
      <c r="BL33" s="320">
        <v>1.17</v>
      </c>
      <c r="BM33" s="318">
        <v>1.61</v>
      </c>
      <c r="BN33" s="319">
        <v>4.17</v>
      </c>
      <c r="BO33" s="179">
        <v>3.25</v>
      </c>
      <c r="BP33" s="179">
        <v>0.631</v>
      </c>
      <c r="BQ33" s="179">
        <v>1</v>
      </c>
      <c r="BR33" s="179">
        <v>1</v>
      </c>
      <c r="BS33" s="320">
        <v>0</v>
      </c>
    </row>
    <row r="34" spans="1:71" ht="12.75">
      <c r="A34" s="54" t="s">
        <v>787</v>
      </c>
      <c r="B34" s="132">
        <v>1.67</v>
      </c>
      <c r="C34" s="101"/>
      <c r="F34" s="39"/>
      <c r="G34" s="39"/>
      <c r="H34" s="39"/>
      <c r="I34" s="39"/>
      <c r="J34" s="15"/>
      <c r="K34" s="14"/>
      <c r="L34" s="14"/>
      <c r="M34" s="14"/>
      <c r="N34" s="14"/>
      <c r="O34" s="14"/>
      <c r="P34" s="14"/>
      <c r="Q34" s="14"/>
      <c r="R34" s="14"/>
      <c r="S34" s="14"/>
      <c r="T34" s="32"/>
      <c r="U34" s="29"/>
      <c r="V34" s="24"/>
      <c r="W34" s="48" t="s">
        <v>8</v>
      </c>
      <c r="X34" s="36">
        <f>IF($N$13="Yes",$X$24+$N$14*$X$25,"N.A.")</f>
        <v>35.2</v>
      </c>
      <c r="Y34" s="79" t="s">
        <v>9</v>
      </c>
      <c r="Z34" s="41" t="s">
        <v>778</v>
      </c>
      <c r="AA34" s="32"/>
      <c r="AB34" s="24"/>
      <c r="AC34" s="24"/>
      <c r="AD34" s="24"/>
      <c r="AE34" s="32"/>
      <c r="AF34" s="135"/>
      <c r="AG34" s="135"/>
      <c r="AH34" s="135"/>
      <c r="AI34" s="327" t="s">
        <v>384</v>
      </c>
      <c r="AJ34" s="328">
        <v>41.1</v>
      </c>
      <c r="AK34" s="330">
        <v>1.97</v>
      </c>
      <c r="AL34" s="328">
        <v>17.6</v>
      </c>
      <c r="AM34" s="330">
        <v>3.54</v>
      </c>
      <c r="AN34" s="330">
        <v>4.49</v>
      </c>
      <c r="AO34" s="331">
        <v>2460</v>
      </c>
      <c r="AP34" s="331">
        <v>2910</v>
      </c>
      <c r="AQ34" s="13">
        <v>30</v>
      </c>
      <c r="AR34" s="318" t="s">
        <v>155</v>
      </c>
      <c r="AS34" s="319">
        <v>24.3</v>
      </c>
      <c r="AT34" s="179">
        <v>7.13</v>
      </c>
      <c r="AU34" s="179">
        <v>6</v>
      </c>
      <c r="AV34" s="179">
        <v>6</v>
      </c>
      <c r="AW34" s="179">
        <v>0.625</v>
      </c>
      <c r="AX34" s="320">
        <v>1.125</v>
      </c>
      <c r="AY34" s="318">
        <v>1.125</v>
      </c>
      <c r="AZ34" s="319">
        <v>1.72</v>
      </c>
      <c r="BA34" s="179">
        <v>1.72</v>
      </c>
      <c r="BB34" s="179">
        <v>0.594</v>
      </c>
      <c r="BC34" s="179">
        <v>0.594</v>
      </c>
      <c r="BD34" s="179">
        <v>24.1</v>
      </c>
      <c r="BE34" s="320">
        <v>10.1</v>
      </c>
      <c r="BF34" s="318">
        <v>5.64</v>
      </c>
      <c r="BG34" s="319">
        <v>1.84</v>
      </c>
      <c r="BH34" s="179">
        <v>24.1</v>
      </c>
      <c r="BI34" s="179">
        <v>10.1</v>
      </c>
      <c r="BJ34" s="179">
        <v>5.64</v>
      </c>
      <c r="BK34" s="179">
        <v>1.84</v>
      </c>
      <c r="BL34" s="320">
        <v>1.17</v>
      </c>
      <c r="BM34" s="318">
        <v>0.955</v>
      </c>
      <c r="BN34" s="319">
        <v>2.5</v>
      </c>
      <c r="BO34" s="179">
        <v>3.28</v>
      </c>
      <c r="BP34" s="179">
        <v>0.631</v>
      </c>
      <c r="BQ34" s="179">
        <v>1</v>
      </c>
      <c r="BR34" s="179">
        <v>1</v>
      </c>
      <c r="BS34" s="320">
        <v>0</v>
      </c>
    </row>
    <row r="35" spans="1:71" ht="15.75">
      <c r="A35" s="54" t="s">
        <v>328</v>
      </c>
      <c r="B35" s="133">
        <f>IF(B33&lt;=0,"N/A",X48)</f>
        <v>0.3112904592177537</v>
      </c>
      <c r="C35" s="101" t="s">
        <v>19</v>
      </c>
      <c r="D35" s="283" t="s">
        <v>786</v>
      </c>
      <c r="E35" s="43"/>
      <c r="F35" s="39"/>
      <c r="G35" s="39"/>
      <c r="H35" s="39"/>
      <c r="I35" s="39"/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32"/>
      <c r="U35" s="29"/>
      <c r="V35" s="65"/>
      <c r="W35" s="48" t="s">
        <v>779</v>
      </c>
      <c r="X35" s="8">
        <f>IF($N$13="Yes",$N$14/$L$19,"N.A.")</f>
        <v>0.26960784313725494</v>
      </c>
      <c r="Y35" s="29"/>
      <c r="Z35" s="41" t="s">
        <v>780</v>
      </c>
      <c r="AA35" s="24"/>
      <c r="AB35" s="24"/>
      <c r="AC35" s="24"/>
      <c r="AD35" s="24"/>
      <c r="AE35" s="32"/>
      <c r="AF35" s="135"/>
      <c r="AG35" s="135"/>
      <c r="AH35" s="135"/>
      <c r="AI35" s="327" t="s">
        <v>385</v>
      </c>
      <c r="AJ35" s="328">
        <v>39.8</v>
      </c>
      <c r="AK35" s="330">
        <v>1.61</v>
      </c>
      <c r="AL35" s="328">
        <v>17.2</v>
      </c>
      <c r="AM35" s="330">
        <v>2.91</v>
      </c>
      <c r="AN35" s="330">
        <v>3.86</v>
      </c>
      <c r="AO35" s="331">
        <v>1990</v>
      </c>
      <c r="AP35" s="331">
        <v>2330</v>
      </c>
      <c r="AQ35" s="13">
        <v>31</v>
      </c>
      <c r="AR35" s="318" t="s">
        <v>156</v>
      </c>
      <c r="AS35" s="319">
        <v>22</v>
      </c>
      <c r="AT35" s="179">
        <v>6.45</v>
      </c>
      <c r="AU35" s="179">
        <v>6</v>
      </c>
      <c r="AV35" s="179">
        <v>6</v>
      </c>
      <c r="AW35" s="179">
        <v>0.5625</v>
      </c>
      <c r="AX35" s="320">
        <v>1.0625</v>
      </c>
      <c r="AY35" s="318">
        <v>1.0625</v>
      </c>
      <c r="AZ35" s="319">
        <v>1.7</v>
      </c>
      <c r="BA35" s="179">
        <v>1.7</v>
      </c>
      <c r="BB35" s="179">
        <v>0.538</v>
      </c>
      <c r="BC35" s="179">
        <v>0.538</v>
      </c>
      <c r="BD35" s="179">
        <v>22</v>
      </c>
      <c r="BE35" s="320">
        <v>9.18</v>
      </c>
      <c r="BF35" s="318">
        <v>5.12</v>
      </c>
      <c r="BG35" s="319">
        <v>1.85</v>
      </c>
      <c r="BH35" s="179">
        <v>22</v>
      </c>
      <c r="BI35" s="179">
        <v>9.17</v>
      </c>
      <c r="BJ35" s="179">
        <v>5.12</v>
      </c>
      <c r="BK35" s="179">
        <v>1.85</v>
      </c>
      <c r="BL35" s="320">
        <v>1.18</v>
      </c>
      <c r="BM35" s="318">
        <v>0.704</v>
      </c>
      <c r="BN35" s="319">
        <v>1.85</v>
      </c>
      <c r="BO35" s="179">
        <v>3.29</v>
      </c>
      <c r="BP35" s="179">
        <v>0.629</v>
      </c>
      <c r="BQ35" s="179">
        <v>1</v>
      </c>
      <c r="BR35" s="179">
        <v>1</v>
      </c>
      <c r="BS35" s="320">
        <v>0</v>
      </c>
    </row>
    <row r="36" spans="1:71" ht="12.75">
      <c r="A36" s="19"/>
      <c r="E36" s="39"/>
      <c r="F36" s="39"/>
      <c r="G36" s="39"/>
      <c r="H36" s="39"/>
      <c r="I36" s="39"/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32"/>
      <c r="U36" s="29"/>
      <c r="V36" s="42"/>
      <c r="W36" s="48" t="s">
        <v>48</v>
      </c>
      <c r="X36" s="8">
        <f>IF($N$13="Yes",IF($X$35&lt;=0.2,$X$26+$N$14*$X$28,$X$30+$N$14*$X$32),"N.A.")</f>
        <v>25.11324384703203</v>
      </c>
      <c r="Y36" s="79" t="s">
        <v>9</v>
      </c>
      <c r="Z36" s="41" t="str">
        <f>IF($X$35&lt;=0.2,"Rwc = R3/Ω+N*R4/Ω  (based on web crip. per AISC Eqn. J10-5b, p. 16.1-117)","Rwc = R5/Ω+N*R6/Ω  (based on web crip. per AISC Eqn. J10-5b, p. 16.1-117)")</f>
        <v>Rwc = R5/Ω+N*R6/Ω  (based on web crip. per AISC Eqn. J10-5b, p. 16.1-117)</v>
      </c>
      <c r="AA36" s="24"/>
      <c r="AB36" s="32"/>
      <c r="AC36" s="32"/>
      <c r="AD36" s="24"/>
      <c r="AE36" s="32"/>
      <c r="AF36" s="135"/>
      <c r="AG36" s="135"/>
      <c r="AH36" s="135"/>
      <c r="AI36" s="327" t="s">
        <v>386</v>
      </c>
      <c r="AJ36" s="328">
        <v>39.3</v>
      </c>
      <c r="AK36" s="330">
        <v>1.5</v>
      </c>
      <c r="AL36" s="328">
        <v>17.1</v>
      </c>
      <c r="AM36" s="330">
        <v>2.68</v>
      </c>
      <c r="AN36" s="330">
        <v>3.63</v>
      </c>
      <c r="AO36" s="331">
        <v>1830</v>
      </c>
      <c r="AP36" s="331">
        <v>2130</v>
      </c>
      <c r="AQ36" s="13">
        <v>32</v>
      </c>
      <c r="AR36" s="318" t="s">
        <v>157</v>
      </c>
      <c r="AS36" s="319">
        <v>19.6</v>
      </c>
      <c r="AT36" s="179">
        <v>5.77</v>
      </c>
      <c r="AU36" s="179">
        <v>6</v>
      </c>
      <c r="AV36" s="179">
        <v>6</v>
      </c>
      <c r="AW36" s="179">
        <v>0.5</v>
      </c>
      <c r="AX36" s="320">
        <v>1</v>
      </c>
      <c r="AY36" s="318">
        <v>1</v>
      </c>
      <c r="AZ36" s="319">
        <v>1.67</v>
      </c>
      <c r="BA36" s="179">
        <v>1.67</v>
      </c>
      <c r="BB36" s="179">
        <v>0.481</v>
      </c>
      <c r="BC36" s="179">
        <v>0.481</v>
      </c>
      <c r="BD36" s="179">
        <v>19.9</v>
      </c>
      <c r="BE36" s="320">
        <v>8.22</v>
      </c>
      <c r="BF36" s="318">
        <v>4.59</v>
      </c>
      <c r="BG36" s="319">
        <v>1.86</v>
      </c>
      <c r="BH36" s="179">
        <v>19.9</v>
      </c>
      <c r="BI36" s="179">
        <v>8.22</v>
      </c>
      <c r="BJ36" s="179">
        <v>4.59</v>
      </c>
      <c r="BK36" s="179">
        <v>1.86</v>
      </c>
      <c r="BL36" s="320">
        <v>1.18</v>
      </c>
      <c r="BM36" s="318">
        <v>0.501</v>
      </c>
      <c r="BN36" s="319">
        <v>1.32</v>
      </c>
      <c r="BO36" s="179">
        <v>3.3</v>
      </c>
      <c r="BP36" s="179">
        <v>0.631</v>
      </c>
      <c r="BQ36" s="179">
        <v>1</v>
      </c>
      <c r="BR36" s="179">
        <v>1</v>
      </c>
      <c r="BS36" s="320">
        <v>0</v>
      </c>
    </row>
    <row r="37" spans="1:71" ht="12.75">
      <c r="A37" s="108" t="s">
        <v>814</v>
      </c>
      <c r="B37" s="39"/>
      <c r="C37" s="39"/>
      <c r="D37" s="43"/>
      <c r="E37" s="39"/>
      <c r="F37" s="39"/>
      <c r="G37" s="68"/>
      <c r="H37" s="68"/>
      <c r="I37" s="39"/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32"/>
      <c r="U37" s="64"/>
      <c r="V37" s="31"/>
      <c r="W37" s="48" t="s">
        <v>35</v>
      </c>
      <c r="X37" s="8">
        <f>IF($N$13="Yes",MIN($X$34,$X$36),"N.A.")</f>
        <v>25.11324384703203</v>
      </c>
      <c r="Y37" s="79" t="s">
        <v>9</v>
      </c>
      <c r="Z37" s="41" t="s">
        <v>0</v>
      </c>
      <c r="AA37" s="32"/>
      <c r="AB37" s="32"/>
      <c r="AC37" s="32"/>
      <c r="AD37" s="32"/>
      <c r="AE37" s="32"/>
      <c r="AF37" s="135"/>
      <c r="AG37" s="135"/>
      <c r="AH37" s="135"/>
      <c r="AI37" s="327" t="s">
        <v>387</v>
      </c>
      <c r="AJ37" s="328">
        <v>38.9</v>
      </c>
      <c r="AK37" s="330">
        <v>1.36</v>
      </c>
      <c r="AL37" s="328">
        <v>17</v>
      </c>
      <c r="AM37" s="330">
        <v>2.44</v>
      </c>
      <c r="AN37" s="330">
        <v>3.39</v>
      </c>
      <c r="AO37" s="331">
        <v>1650</v>
      </c>
      <c r="AP37" s="331">
        <v>1910</v>
      </c>
      <c r="AQ37" s="13">
        <v>33</v>
      </c>
      <c r="AR37" s="318" t="s">
        <v>158</v>
      </c>
      <c r="AS37" s="319">
        <v>17.3</v>
      </c>
      <c r="AT37" s="179">
        <v>5.08</v>
      </c>
      <c r="AU37" s="179">
        <v>6</v>
      </c>
      <c r="AV37" s="179">
        <v>6</v>
      </c>
      <c r="AW37" s="179">
        <v>0.4375</v>
      </c>
      <c r="AX37" s="320">
        <v>0.9375</v>
      </c>
      <c r="AY37" s="318">
        <v>0.9375</v>
      </c>
      <c r="AZ37" s="319">
        <v>1.65</v>
      </c>
      <c r="BA37" s="179">
        <v>1.65</v>
      </c>
      <c r="BB37" s="179">
        <v>0.423</v>
      </c>
      <c r="BC37" s="179">
        <v>0.423</v>
      </c>
      <c r="BD37" s="179">
        <v>17.6</v>
      </c>
      <c r="BE37" s="320">
        <v>7.25</v>
      </c>
      <c r="BF37" s="318">
        <v>4.06</v>
      </c>
      <c r="BG37" s="319">
        <v>1.86</v>
      </c>
      <c r="BH37" s="179">
        <v>17.6</v>
      </c>
      <c r="BI37" s="179">
        <v>7.25</v>
      </c>
      <c r="BJ37" s="179">
        <v>4.06</v>
      </c>
      <c r="BK37" s="179">
        <v>1.86</v>
      </c>
      <c r="BL37" s="320">
        <v>1.18</v>
      </c>
      <c r="BM37" s="318">
        <v>0.34</v>
      </c>
      <c r="BN37" s="319">
        <v>0.899</v>
      </c>
      <c r="BO37" s="179">
        <v>3.32</v>
      </c>
      <c r="BP37" s="179">
        <v>0.629</v>
      </c>
      <c r="BQ37" s="179">
        <v>1</v>
      </c>
      <c r="BR37" s="179">
        <v>0.972769252436062</v>
      </c>
      <c r="BS37" s="320">
        <v>0</v>
      </c>
    </row>
    <row r="38" spans="1:71" ht="12.75">
      <c r="A38" s="54" t="s">
        <v>39</v>
      </c>
      <c r="B38" s="131">
        <f>$X$12</f>
        <v>33.553582490192035</v>
      </c>
      <c r="C38" s="101" t="s">
        <v>11</v>
      </c>
      <c r="D38" s="285" t="str">
        <f>$Z$12</f>
        <v>Fbx = (S.F./1.67)*Fy    (AISC Eqn. F2-1)</v>
      </c>
      <c r="E38" s="43"/>
      <c r="F38" s="68"/>
      <c r="G38" s="39"/>
      <c r="H38" s="39"/>
      <c r="I38" s="39"/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32"/>
      <c r="U38" s="29"/>
      <c r="V38" s="46"/>
      <c r="W38" s="70" t="s">
        <v>36</v>
      </c>
      <c r="X38" s="24"/>
      <c r="Y38" s="29"/>
      <c r="Z38" s="24"/>
      <c r="AA38" s="24"/>
      <c r="AB38" s="32"/>
      <c r="AC38" s="32"/>
      <c r="AD38" s="32"/>
      <c r="AE38" s="32"/>
      <c r="AF38" s="135"/>
      <c r="AG38" s="135"/>
      <c r="AH38" s="135"/>
      <c r="AI38" s="327" t="s">
        <v>388</v>
      </c>
      <c r="AJ38" s="328">
        <v>38.4</v>
      </c>
      <c r="AK38" s="330">
        <v>1.22</v>
      </c>
      <c r="AL38" s="328">
        <v>16.8</v>
      </c>
      <c r="AM38" s="330">
        <v>2.2</v>
      </c>
      <c r="AN38" s="330">
        <v>3.15</v>
      </c>
      <c r="AO38" s="331">
        <v>1490</v>
      </c>
      <c r="AP38" s="331">
        <v>1710</v>
      </c>
      <c r="AQ38" s="13">
        <v>34</v>
      </c>
      <c r="AR38" s="318" t="s">
        <v>159</v>
      </c>
      <c r="AS38" s="319">
        <v>14.9</v>
      </c>
      <c r="AT38" s="179">
        <v>4.38</v>
      </c>
      <c r="AU38" s="179">
        <v>6</v>
      </c>
      <c r="AV38" s="179">
        <v>6</v>
      </c>
      <c r="AW38" s="179">
        <v>0.375</v>
      </c>
      <c r="AX38" s="320">
        <v>0.875</v>
      </c>
      <c r="AY38" s="318">
        <v>0.875</v>
      </c>
      <c r="AZ38" s="319">
        <v>1.62</v>
      </c>
      <c r="BA38" s="179">
        <v>1.62</v>
      </c>
      <c r="BB38" s="179">
        <v>0.365</v>
      </c>
      <c r="BC38" s="179">
        <v>0.365</v>
      </c>
      <c r="BD38" s="179">
        <v>15.4</v>
      </c>
      <c r="BE38" s="320">
        <v>6.27</v>
      </c>
      <c r="BF38" s="318">
        <v>3.51</v>
      </c>
      <c r="BG38" s="319">
        <v>1.87</v>
      </c>
      <c r="BH38" s="179">
        <v>15.4</v>
      </c>
      <c r="BI38" s="179">
        <v>6.26</v>
      </c>
      <c r="BJ38" s="179">
        <v>3.51</v>
      </c>
      <c r="BK38" s="179">
        <v>1.87</v>
      </c>
      <c r="BL38" s="320">
        <v>1.19</v>
      </c>
      <c r="BM38" s="318">
        <v>0.218</v>
      </c>
      <c r="BN38" s="319">
        <v>0.575</v>
      </c>
      <c r="BO38" s="179">
        <v>3.33</v>
      </c>
      <c r="BP38" s="179">
        <v>0.63</v>
      </c>
      <c r="BQ38" s="179">
        <v>1</v>
      </c>
      <c r="BR38" s="179">
        <v>0.9115641278420724</v>
      </c>
      <c r="BS38" s="320">
        <v>0</v>
      </c>
    </row>
    <row r="39" spans="1:71" ht="12.75">
      <c r="A39" s="54" t="s">
        <v>53</v>
      </c>
      <c r="B39" s="132">
        <f>$X$13</f>
        <v>64.87025948103793</v>
      </c>
      <c r="C39" s="101" t="s">
        <v>17</v>
      </c>
      <c r="D39" s="303" t="str">
        <f>$Z$13</f>
        <v>Mr = (Fbx*Sx)/12  (from AISC Max. Total Uniform Load Tables p. 3-33 to 3-95)</v>
      </c>
      <c r="E39" s="43"/>
      <c r="F39" s="14"/>
      <c r="G39" s="14"/>
      <c r="H39" s="14"/>
      <c r="I39" s="14"/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32"/>
      <c r="U39" s="29"/>
      <c r="V39" s="48"/>
      <c r="W39" s="48" t="s">
        <v>90</v>
      </c>
      <c r="X39" s="8">
        <f>IF($N$13="Yes",MIN($X$21,$X$37),$X$21)</f>
        <v>21.623419827012643</v>
      </c>
      <c r="Y39" s="41" t="s">
        <v>9</v>
      </c>
      <c r="Z39" s="22" t="s">
        <v>92</v>
      </c>
      <c r="AA39" s="32"/>
      <c r="AB39" s="32"/>
      <c r="AC39" s="32"/>
      <c r="AD39" s="32"/>
      <c r="AE39" s="32"/>
      <c r="AF39" s="135"/>
      <c r="AG39" s="135"/>
      <c r="AH39" s="135"/>
      <c r="AI39" s="327" t="s">
        <v>389</v>
      </c>
      <c r="AJ39" s="328">
        <v>38</v>
      </c>
      <c r="AK39" s="330">
        <v>1.12</v>
      </c>
      <c r="AL39" s="328">
        <v>16.7</v>
      </c>
      <c r="AM39" s="330">
        <v>2.01</v>
      </c>
      <c r="AN39" s="330">
        <v>2.96</v>
      </c>
      <c r="AO39" s="331">
        <v>1350</v>
      </c>
      <c r="AP39" s="331">
        <v>1550</v>
      </c>
      <c r="AQ39" s="13">
        <v>35</v>
      </c>
      <c r="AR39" s="318" t="s">
        <v>160</v>
      </c>
      <c r="AS39" s="319">
        <v>12.5</v>
      </c>
      <c r="AT39" s="179">
        <v>3.67</v>
      </c>
      <c r="AU39" s="179">
        <v>6</v>
      </c>
      <c r="AV39" s="179">
        <v>6</v>
      </c>
      <c r="AW39" s="179">
        <v>0.3125</v>
      </c>
      <c r="AX39" s="320">
        <v>0.8125</v>
      </c>
      <c r="AY39" s="318">
        <v>0.8125</v>
      </c>
      <c r="AZ39" s="319">
        <v>1.6</v>
      </c>
      <c r="BA39" s="179">
        <v>1.6</v>
      </c>
      <c r="BB39" s="179">
        <v>0.306</v>
      </c>
      <c r="BC39" s="179">
        <v>0.306</v>
      </c>
      <c r="BD39" s="179">
        <v>13</v>
      </c>
      <c r="BE39" s="320">
        <v>5.26</v>
      </c>
      <c r="BF39" s="318">
        <v>2.95</v>
      </c>
      <c r="BG39" s="319">
        <v>1.88</v>
      </c>
      <c r="BH39" s="179">
        <v>13</v>
      </c>
      <c r="BI39" s="179">
        <v>5.26</v>
      </c>
      <c r="BJ39" s="179">
        <v>2.95</v>
      </c>
      <c r="BK39" s="179">
        <v>1.88</v>
      </c>
      <c r="BL39" s="320">
        <v>1.19</v>
      </c>
      <c r="BM39" s="318">
        <v>0.129</v>
      </c>
      <c r="BN39" s="319">
        <v>0.338</v>
      </c>
      <c r="BO39" s="179">
        <v>3.35</v>
      </c>
      <c r="BP39" s="179">
        <v>0.63</v>
      </c>
      <c r="BQ39" s="179">
        <v>1</v>
      </c>
      <c r="BR39" s="179">
        <v>0.825876953410487</v>
      </c>
      <c r="BS39" s="320">
        <v>0</v>
      </c>
    </row>
    <row r="40" spans="1:71" ht="12.75">
      <c r="A40" s="54" t="s">
        <v>79</v>
      </c>
      <c r="B40" s="132">
        <f>$X$14</f>
        <v>64.87025948103793</v>
      </c>
      <c r="C40" s="101" t="s">
        <v>17</v>
      </c>
      <c r="D40" s="50" t="str">
        <f>$Z$14</f>
        <v>M1(max) = w(unif)*L^2/8 = Mr</v>
      </c>
      <c r="E40" s="14"/>
      <c r="F40" s="14"/>
      <c r="G40" s="14"/>
      <c r="H40" s="14"/>
      <c r="I40" s="14"/>
      <c r="J40" s="15"/>
      <c r="K40" s="14"/>
      <c r="L40" s="14"/>
      <c r="M40" s="14"/>
      <c r="N40" s="14"/>
      <c r="O40" s="14"/>
      <c r="P40" s="14"/>
      <c r="Q40" s="14"/>
      <c r="R40" s="14"/>
      <c r="S40" s="14"/>
      <c r="T40" s="32"/>
      <c r="U40" s="29"/>
      <c r="V40" s="42"/>
      <c r="W40" s="70" t="s">
        <v>77</v>
      </c>
      <c r="X40" s="24"/>
      <c r="Y40" s="29"/>
      <c r="Z40" s="24"/>
      <c r="AA40" s="24"/>
      <c r="AB40" s="24"/>
      <c r="AC40" s="32"/>
      <c r="AD40" s="32"/>
      <c r="AE40" s="32"/>
      <c r="AF40" s="135"/>
      <c r="AG40" s="135"/>
      <c r="AH40" s="135"/>
      <c r="AI40" s="327" t="s">
        <v>390</v>
      </c>
      <c r="AJ40" s="328">
        <v>37.7</v>
      </c>
      <c r="AK40" s="330">
        <v>1.02</v>
      </c>
      <c r="AL40" s="328">
        <v>16.6</v>
      </c>
      <c r="AM40" s="330">
        <v>1.85</v>
      </c>
      <c r="AN40" s="330">
        <v>2.8</v>
      </c>
      <c r="AO40" s="331">
        <v>1240</v>
      </c>
      <c r="AP40" s="331">
        <v>1410</v>
      </c>
      <c r="AQ40" s="13">
        <v>36</v>
      </c>
      <c r="AR40" s="318" t="s">
        <v>161</v>
      </c>
      <c r="AS40" s="319">
        <v>27.2</v>
      </c>
      <c r="AT40" s="179">
        <v>7.98</v>
      </c>
      <c r="AU40" s="179">
        <v>6</v>
      </c>
      <c r="AV40" s="179">
        <v>4</v>
      </c>
      <c r="AW40" s="179">
        <v>0.875</v>
      </c>
      <c r="AX40" s="320">
        <v>1.375</v>
      </c>
      <c r="AY40" s="318">
        <v>1.375</v>
      </c>
      <c r="AZ40" s="319">
        <v>1.12</v>
      </c>
      <c r="BA40" s="179">
        <v>2.12</v>
      </c>
      <c r="BB40" s="179">
        <v>0.665</v>
      </c>
      <c r="BC40" s="179">
        <v>1.44</v>
      </c>
      <c r="BD40" s="179">
        <v>27.7</v>
      </c>
      <c r="BE40" s="320">
        <v>12.7</v>
      </c>
      <c r="BF40" s="318">
        <v>7.13</v>
      </c>
      <c r="BG40" s="319">
        <v>1.86</v>
      </c>
      <c r="BH40" s="179">
        <v>9.7</v>
      </c>
      <c r="BI40" s="179">
        <v>6.26</v>
      </c>
      <c r="BJ40" s="179">
        <v>3.37</v>
      </c>
      <c r="BK40" s="179">
        <v>1.1</v>
      </c>
      <c r="BL40" s="320">
        <v>0.854</v>
      </c>
      <c r="BM40" s="318">
        <v>2.03</v>
      </c>
      <c r="BN40" s="319">
        <v>4.04</v>
      </c>
      <c r="BO40" s="179">
        <v>2.83</v>
      </c>
      <c r="BP40" s="179">
        <v>0</v>
      </c>
      <c r="BQ40" s="179">
        <v>0.422</v>
      </c>
      <c r="BR40" s="179">
        <v>1</v>
      </c>
      <c r="BS40" s="320">
        <v>3.14</v>
      </c>
    </row>
    <row r="41" spans="1:71" ht="12.75">
      <c r="A41" s="54" t="s">
        <v>83</v>
      </c>
      <c r="B41" s="132">
        <f>$X$15</f>
        <v>3.6039033045021074</v>
      </c>
      <c r="C41" s="101" t="s">
        <v>40</v>
      </c>
      <c r="D41" s="50" t="str">
        <f>$Z$15</f>
        <v>w(unif) = 8*(Mr)/L^2 = 8*(Fbx*Sx/12)/L^2</v>
      </c>
      <c r="E41" s="14"/>
      <c r="F41" s="47"/>
      <c r="G41" s="39"/>
      <c r="H41" s="39"/>
      <c r="I41" s="39"/>
      <c r="J41" s="15"/>
      <c r="K41" s="19"/>
      <c r="L41" s="14"/>
      <c r="M41" s="14"/>
      <c r="N41" s="14"/>
      <c r="O41" s="14"/>
      <c r="P41" s="14"/>
      <c r="Q41" s="14"/>
      <c r="R41" s="14"/>
      <c r="S41" s="14"/>
      <c r="T41" s="32"/>
      <c r="U41" s="29"/>
      <c r="V41" s="24"/>
      <c r="W41" s="28" t="s">
        <v>91</v>
      </c>
      <c r="X41" s="36">
        <f>($L$21*$L$22)*(0.6*$N$15)*($L$19-$L$22)/12</f>
        <v>50.922</v>
      </c>
      <c r="Y41" s="79" t="s">
        <v>17</v>
      </c>
      <c r="Z41" s="22" t="s">
        <v>93</v>
      </c>
      <c r="AA41" s="24"/>
      <c r="AB41" s="24"/>
      <c r="AC41" s="32"/>
      <c r="AD41" s="32"/>
      <c r="AE41" s="32"/>
      <c r="AF41" s="135"/>
      <c r="AG41" s="135"/>
      <c r="AH41" s="135"/>
      <c r="AI41" s="327" t="s">
        <v>391</v>
      </c>
      <c r="AJ41" s="328">
        <v>37.3</v>
      </c>
      <c r="AK41" s="329">
        <v>0.945</v>
      </c>
      <c r="AL41" s="328">
        <v>16.7</v>
      </c>
      <c r="AM41" s="330">
        <v>1.68</v>
      </c>
      <c r="AN41" s="330">
        <v>2.63</v>
      </c>
      <c r="AO41" s="331">
        <v>1130</v>
      </c>
      <c r="AP41" s="331">
        <v>1280</v>
      </c>
      <c r="AQ41" s="13">
        <v>37</v>
      </c>
      <c r="AR41" s="318" t="s">
        <v>162</v>
      </c>
      <c r="AS41" s="319">
        <v>23.6</v>
      </c>
      <c r="AT41" s="179">
        <v>6.94</v>
      </c>
      <c r="AU41" s="179">
        <v>6</v>
      </c>
      <c r="AV41" s="179">
        <v>4</v>
      </c>
      <c r="AW41" s="179">
        <v>0.75</v>
      </c>
      <c r="AX41" s="320">
        <v>1.25</v>
      </c>
      <c r="AY41" s="318">
        <v>1.25</v>
      </c>
      <c r="AZ41" s="319">
        <v>1.07</v>
      </c>
      <c r="BA41" s="179">
        <v>2.07</v>
      </c>
      <c r="BB41" s="179">
        <v>0.578</v>
      </c>
      <c r="BC41" s="179">
        <v>1.38</v>
      </c>
      <c r="BD41" s="179">
        <v>24.5</v>
      </c>
      <c r="BE41" s="320">
        <v>11.1</v>
      </c>
      <c r="BF41" s="318">
        <v>6.23</v>
      </c>
      <c r="BG41" s="319">
        <v>1.88</v>
      </c>
      <c r="BH41" s="179">
        <v>8.63</v>
      </c>
      <c r="BI41" s="179">
        <v>5.42</v>
      </c>
      <c r="BJ41" s="179">
        <v>2.95</v>
      </c>
      <c r="BK41" s="179">
        <v>1.12</v>
      </c>
      <c r="BL41" s="320">
        <v>0.856</v>
      </c>
      <c r="BM41" s="318">
        <v>1.31</v>
      </c>
      <c r="BN41" s="319">
        <v>2.64</v>
      </c>
      <c r="BO41" s="179">
        <v>2.85</v>
      </c>
      <c r="BP41" s="179">
        <v>0</v>
      </c>
      <c r="BQ41" s="179">
        <v>0.428</v>
      </c>
      <c r="BR41" s="179">
        <v>1</v>
      </c>
      <c r="BS41" s="320">
        <v>3.14</v>
      </c>
    </row>
    <row r="42" spans="1:71" ht="12.75">
      <c r="A42" s="54" t="s">
        <v>759</v>
      </c>
      <c r="B42" s="132">
        <f>$X$16</f>
        <v>5</v>
      </c>
      <c r="C42" s="14"/>
      <c r="D42" s="50" t="str">
        <f>$Z$16</f>
        <v>kv = 5.0 for unstiffened webs</v>
      </c>
      <c r="E42" s="39"/>
      <c r="F42" s="39"/>
      <c r="G42" s="39"/>
      <c r="H42" s="39"/>
      <c r="I42" s="39"/>
      <c r="J42" s="15"/>
      <c r="K42" s="19"/>
      <c r="L42" s="14"/>
      <c r="M42" s="14"/>
      <c r="N42" s="14"/>
      <c r="O42" s="14"/>
      <c r="P42" s="14"/>
      <c r="Q42" s="14"/>
      <c r="R42" s="14"/>
      <c r="S42" s="14"/>
      <c r="T42" s="32"/>
      <c r="U42" s="29"/>
      <c r="V42" s="24"/>
      <c r="W42" s="92" t="s">
        <v>94</v>
      </c>
      <c r="X42" s="34">
        <f>$X$41/$X$14</f>
        <v>0.7849822153846152</v>
      </c>
      <c r="Y42" s="29"/>
      <c r="Z42" s="183"/>
      <c r="AA42" s="24"/>
      <c r="AB42" s="22"/>
      <c r="AC42" s="32"/>
      <c r="AD42" s="32"/>
      <c r="AE42" s="32"/>
      <c r="AF42" s="135"/>
      <c r="AG42" s="135"/>
      <c r="AH42" s="135"/>
      <c r="AI42" s="327" t="s">
        <v>392</v>
      </c>
      <c r="AJ42" s="328">
        <v>37.1</v>
      </c>
      <c r="AK42" s="329">
        <v>0.885</v>
      </c>
      <c r="AL42" s="328">
        <v>16.6</v>
      </c>
      <c r="AM42" s="330">
        <v>1.57</v>
      </c>
      <c r="AN42" s="330">
        <v>2.52</v>
      </c>
      <c r="AO42" s="331">
        <v>1050</v>
      </c>
      <c r="AP42" s="331">
        <v>1190</v>
      </c>
      <c r="AQ42" s="13">
        <v>38</v>
      </c>
      <c r="AR42" s="318" t="s">
        <v>163</v>
      </c>
      <c r="AS42" s="319">
        <v>19.9</v>
      </c>
      <c r="AT42" s="179">
        <v>5.86</v>
      </c>
      <c r="AU42" s="179">
        <v>6</v>
      </c>
      <c r="AV42" s="179">
        <v>4</v>
      </c>
      <c r="AW42" s="179">
        <v>0.625</v>
      </c>
      <c r="AX42" s="320">
        <v>1.125</v>
      </c>
      <c r="AY42" s="318">
        <v>1.125</v>
      </c>
      <c r="AZ42" s="319">
        <v>1.03</v>
      </c>
      <c r="BA42" s="179">
        <v>2.03</v>
      </c>
      <c r="BB42" s="179">
        <v>0.488</v>
      </c>
      <c r="BC42" s="179">
        <v>1.31</v>
      </c>
      <c r="BD42" s="179">
        <v>21</v>
      </c>
      <c r="BE42" s="320">
        <v>9.44</v>
      </c>
      <c r="BF42" s="318">
        <v>5.29</v>
      </c>
      <c r="BG42" s="319">
        <v>1.89</v>
      </c>
      <c r="BH42" s="179">
        <v>7.48</v>
      </c>
      <c r="BI42" s="179">
        <v>4.56</v>
      </c>
      <c r="BJ42" s="179">
        <v>2.52</v>
      </c>
      <c r="BK42" s="179">
        <v>1.13</v>
      </c>
      <c r="BL42" s="320">
        <v>0.859</v>
      </c>
      <c r="BM42" s="318">
        <v>0.775</v>
      </c>
      <c r="BN42" s="319">
        <v>1.59</v>
      </c>
      <c r="BO42" s="179">
        <v>2.89</v>
      </c>
      <c r="BP42" s="179">
        <v>0</v>
      </c>
      <c r="BQ42" s="179">
        <v>0.435</v>
      </c>
      <c r="BR42" s="179">
        <v>1</v>
      </c>
      <c r="BS42" s="320">
        <v>3.14</v>
      </c>
    </row>
    <row r="43" spans="1:71" ht="12.75">
      <c r="A43" s="54" t="s">
        <v>761</v>
      </c>
      <c r="B43" s="132">
        <f>$X$17</f>
        <v>1</v>
      </c>
      <c r="C43" s="14"/>
      <c r="D43" s="50" t="str">
        <f>$Z$17</f>
        <v>Cv = 1.0 for h/tw ≤ 2.24*sqrt(E/Fy), otherwise see Eqn. G2-3 to G2-5</v>
      </c>
      <c r="E43" s="39"/>
      <c r="F43" s="39"/>
      <c r="G43" s="39"/>
      <c r="H43" s="39"/>
      <c r="I43" s="39"/>
      <c r="J43" s="15"/>
      <c r="K43" s="19"/>
      <c r="L43" s="14"/>
      <c r="M43" s="14"/>
      <c r="N43" s="14"/>
      <c r="O43" s="14"/>
      <c r="P43" s="14"/>
      <c r="Q43" s="14"/>
      <c r="R43" s="14"/>
      <c r="S43" s="14"/>
      <c r="T43" s="32"/>
      <c r="U43" s="29"/>
      <c r="V43" s="42"/>
      <c r="W43" s="24"/>
      <c r="X43" s="24"/>
      <c r="Y43" s="29"/>
      <c r="Z43" s="24"/>
      <c r="AA43" s="24"/>
      <c r="AB43" s="32"/>
      <c r="AC43" s="32"/>
      <c r="AD43" s="32"/>
      <c r="AE43" s="32"/>
      <c r="AF43" s="135"/>
      <c r="AG43" s="135"/>
      <c r="AH43" s="135"/>
      <c r="AI43" s="327" t="s">
        <v>393</v>
      </c>
      <c r="AJ43" s="328">
        <v>36.9</v>
      </c>
      <c r="AK43" s="329">
        <v>0.84</v>
      </c>
      <c r="AL43" s="328">
        <v>16.6</v>
      </c>
      <c r="AM43" s="330">
        <v>1.44</v>
      </c>
      <c r="AN43" s="330">
        <v>2.39</v>
      </c>
      <c r="AO43" s="331">
        <v>972</v>
      </c>
      <c r="AP43" s="331">
        <v>1100</v>
      </c>
      <c r="AQ43" s="13">
        <v>39</v>
      </c>
      <c r="AR43" s="318" t="s">
        <v>164</v>
      </c>
      <c r="AS43" s="319">
        <v>18.1</v>
      </c>
      <c r="AT43" s="179">
        <v>5.31</v>
      </c>
      <c r="AU43" s="179">
        <v>6</v>
      </c>
      <c r="AV43" s="179">
        <v>4</v>
      </c>
      <c r="AW43" s="179">
        <v>0.5625</v>
      </c>
      <c r="AX43" s="320">
        <v>1.0625</v>
      </c>
      <c r="AY43" s="318">
        <v>1.0625</v>
      </c>
      <c r="AZ43" s="319">
        <v>1</v>
      </c>
      <c r="BA43" s="179">
        <v>2</v>
      </c>
      <c r="BB43" s="179">
        <v>0.442</v>
      </c>
      <c r="BC43" s="179">
        <v>1.28</v>
      </c>
      <c r="BD43" s="179">
        <v>19.2</v>
      </c>
      <c r="BE43" s="320">
        <v>8.59</v>
      </c>
      <c r="BF43" s="318">
        <v>4.81</v>
      </c>
      <c r="BG43" s="319">
        <v>1.9</v>
      </c>
      <c r="BH43" s="179">
        <v>6.86</v>
      </c>
      <c r="BI43" s="179">
        <v>4.13</v>
      </c>
      <c r="BJ43" s="179">
        <v>2.29</v>
      </c>
      <c r="BK43" s="179">
        <v>1.14</v>
      </c>
      <c r="BL43" s="320">
        <v>0.861</v>
      </c>
      <c r="BM43" s="318">
        <v>0.572</v>
      </c>
      <c r="BN43" s="319">
        <v>1.18</v>
      </c>
      <c r="BO43" s="179">
        <v>2.89</v>
      </c>
      <c r="BP43" s="179">
        <v>0</v>
      </c>
      <c r="BQ43" s="179">
        <v>0.438</v>
      </c>
      <c r="BR43" s="179">
        <v>1</v>
      </c>
      <c r="BS43" s="320">
        <v>3.14</v>
      </c>
    </row>
    <row r="44" spans="1:71" ht="12.75">
      <c r="A44" s="54" t="s">
        <v>16</v>
      </c>
      <c r="B44" s="132">
        <f>$X$18</f>
        <v>20</v>
      </c>
      <c r="C44" s="101" t="s">
        <v>11</v>
      </c>
      <c r="D44" s="50" t="str">
        <f>$Z$18</f>
        <v>Rvg = (1/1.5)*0.60*Fy*Cv</v>
      </c>
      <c r="E44" s="39"/>
      <c r="F44" s="39"/>
      <c r="G44" s="39"/>
      <c r="H44" s="39"/>
      <c r="I44" s="39"/>
      <c r="J44" s="15"/>
      <c r="K44" s="19"/>
      <c r="L44" s="14"/>
      <c r="M44" s="14"/>
      <c r="N44" s="14"/>
      <c r="O44" s="14"/>
      <c r="P44" s="14"/>
      <c r="Q44" s="14"/>
      <c r="R44" s="14"/>
      <c r="S44" s="14"/>
      <c r="T44" s="32"/>
      <c r="U44" s="29"/>
      <c r="V44" s="42"/>
      <c r="W44" s="308" t="s">
        <v>783</v>
      </c>
      <c r="X44" s="24"/>
      <c r="Y44" s="29"/>
      <c r="Z44" s="24"/>
      <c r="AA44" s="24"/>
      <c r="AB44" s="24"/>
      <c r="AC44" s="24"/>
      <c r="AD44" s="32"/>
      <c r="AE44" s="32"/>
      <c r="AF44" s="135"/>
      <c r="AG44" s="135"/>
      <c r="AH44" s="135"/>
      <c r="AI44" s="327" t="s">
        <v>394</v>
      </c>
      <c r="AJ44" s="328">
        <v>36.7</v>
      </c>
      <c r="AK44" s="329">
        <v>0.8</v>
      </c>
      <c r="AL44" s="328">
        <v>16.5</v>
      </c>
      <c r="AM44" s="330">
        <v>1.35</v>
      </c>
      <c r="AN44" s="330">
        <v>2.3</v>
      </c>
      <c r="AO44" s="331">
        <v>913</v>
      </c>
      <c r="AP44" s="331">
        <v>1030</v>
      </c>
      <c r="AQ44" s="13">
        <v>40</v>
      </c>
      <c r="AR44" s="318" t="s">
        <v>165</v>
      </c>
      <c r="AS44" s="319">
        <v>16.2</v>
      </c>
      <c r="AT44" s="179">
        <v>4.75</v>
      </c>
      <c r="AU44" s="179">
        <v>6</v>
      </c>
      <c r="AV44" s="179">
        <v>4</v>
      </c>
      <c r="AW44" s="179">
        <v>0.5</v>
      </c>
      <c r="AX44" s="320">
        <v>1</v>
      </c>
      <c r="AY44" s="318">
        <v>1</v>
      </c>
      <c r="AZ44" s="319">
        <v>0.981</v>
      </c>
      <c r="BA44" s="179">
        <v>1.98</v>
      </c>
      <c r="BB44" s="179">
        <v>0.396</v>
      </c>
      <c r="BC44" s="179">
        <v>1.25</v>
      </c>
      <c r="BD44" s="179">
        <v>17.3</v>
      </c>
      <c r="BE44" s="320">
        <v>7.71</v>
      </c>
      <c r="BF44" s="318">
        <v>4.31</v>
      </c>
      <c r="BG44" s="319">
        <v>1.91</v>
      </c>
      <c r="BH44" s="179">
        <v>6.22</v>
      </c>
      <c r="BI44" s="179">
        <v>3.69</v>
      </c>
      <c r="BJ44" s="179">
        <v>2.06</v>
      </c>
      <c r="BK44" s="179">
        <v>1.14</v>
      </c>
      <c r="BL44" s="320">
        <v>0.864</v>
      </c>
      <c r="BM44" s="318">
        <v>0.407</v>
      </c>
      <c r="BN44" s="319">
        <v>0.843</v>
      </c>
      <c r="BO44" s="179">
        <v>2.91</v>
      </c>
      <c r="BP44" s="179">
        <v>0</v>
      </c>
      <c r="BQ44" s="179">
        <v>0.441</v>
      </c>
      <c r="BR44" s="179">
        <v>1</v>
      </c>
      <c r="BS44" s="320">
        <v>3.14</v>
      </c>
    </row>
    <row r="45" spans="1:71" ht="12.75">
      <c r="A45" s="54" t="s">
        <v>46</v>
      </c>
      <c r="B45" s="132">
        <f>$X$19</f>
        <v>48.96</v>
      </c>
      <c r="C45" s="101" t="s">
        <v>9</v>
      </c>
      <c r="D45" s="50" t="str">
        <f>$Z$19</f>
        <v>V = Fv*Aw = Fv*(d*tw)  (Allowable web shear)</v>
      </c>
      <c r="E45" s="39"/>
      <c r="F45" s="14"/>
      <c r="G45" s="14"/>
      <c r="H45" s="14"/>
      <c r="I45" s="14"/>
      <c r="J45" s="15"/>
      <c r="K45" s="19"/>
      <c r="L45" s="14"/>
      <c r="M45" s="14"/>
      <c r="N45" s="14"/>
      <c r="O45" s="14"/>
      <c r="P45" s="14"/>
      <c r="Q45" s="14"/>
      <c r="R45" s="14"/>
      <c r="S45" s="14"/>
      <c r="T45" s="32"/>
      <c r="U45" s="29"/>
      <c r="V45" s="42"/>
      <c r="W45" s="48" t="s">
        <v>318</v>
      </c>
      <c r="X45" s="36">
        <f>C21-I30</f>
        <v>2.75</v>
      </c>
      <c r="Y45" s="79" t="s">
        <v>19</v>
      </c>
      <c r="Z45" s="22" t="s">
        <v>326</v>
      </c>
      <c r="AA45" s="32"/>
      <c r="AB45" s="32"/>
      <c r="AC45" s="32"/>
      <c r="AD45" s="32"/>
      <c r="AE45" s="32"/>
      <c r="AF45" s="135"/>
      <c r="AG45" s="135"/>
      <c r="AH45" s="135"/>
      <c r="AI45" s="327" t="s">
        <v>395</v>
      </c>
      <c r="AJ45" s="328">
        <v>36.5</v>
      </c>
      <c r="AK45" s="329">
        <v>0.76</v>
      </c>
      <c r="AL45" s="328">
        <v>16.5</v>
      </c>
      <c r="AM45" s="330">
        <v>1.26</v>
      </c>
      <c r="AN45" s="330">
        <v>2.21</v>
      </c>
      <c r="AO45" s="331">
        <v>854</v>
      </c>
      <c r="AP45" s="331">
        <v>963</v>
      </c>
      <c r="AQ45" s="13">
        <v>41</v>
      </c>
      <c r="AR45" s="318" t="s">
        <v>166</v>
      </c>
      <c r="AS45" s="319">
        <v>14.2</v>
      </c>
      <c r="AT45" s="179">
        <v>4.18</v>
      </c>
      <c r="AU45" s="179">
        <v>6</v>
      </c>
      <c r="AV45" s="179">
        <v>4</v>
      </c>
      <c r="AW45" s="179">
        <v>0.4375</v>
      </c>
      <c r="AX45" s="320">
        <v>0.9375</v>
      </c>
      <c r="AY45" s="318">
        <v>0.9375</v>
      </c>
      <c r="AZ45" s="319">
        <v>0.957</v>
      </c>
      <c r="BA45" s="179">
        <v>1.95</v>
      </c>
      <c r="BB45" s="179">
        <v>0.349</v>
      </c>
      <c r="BC45" s="179">
        <v>1.22</v>
      </c>
      <c r="BD45" s="179">
        <v>15.4</v>
      </c>
      <c r="BE45" s="320">
        <v>6.81</v>
      </c>
      <c r="BF45" s="318">
        <v>3.81</v>
      </c>
      <c r="BG45" s="319">
        <v>1.92</v>
      </c>
      <c r="BH45" s="179">
        <v>5.56</v>
      </c>
      <c r="BI45" s="179">
        <v>3.24</v>
      </c>
      <c r="BJ45" s="179">
        <v>1.83</v>
      </c>
      <c r="BK45" s="179">
        <v>1.15</v>
      </c>
      <c r="BL45" s="320">
        <v>0.867</v>
      </c>
      <c r="BM45" s="318">
        <v>0.276</v>
      </c>
      <c r="BN45" s="319">
        <v>0.575</v>
      </c>
      <c r="BO45" s="179">
        <v>2.92</v>
      </c>
      <c r="BP45" s="179">
        <v>0</v>
      </c>
      <c r="BQ45" s="179">
        <v>0.443</v>
      </c>
      <c r="BR45" s="179">
        <v>0.973</v>
      </c>
      <c r="BS45" s="320">
        <v>3.14</v>
      </c>
    </row>
    <row r="46" spans="1:71" ht="12.75">
      <c r="A46" s="54" t="s">
        <v>82</v>
      </c>
      <c r="B46" s="132">
        <f>$X$20</f>
        <v>43.24683965402529</v>
      </c>
      <c r="C46" s="101" t="s">
        <v>9</v>
      </c>
      <c r="D46" s="50" t="str">
        <f>$Z$20</f>
        <v>W(total) = Minimum of:  w(unif)*L or 2*V  (AISC Table p. 3-33 to 3-95)</v>
      </c>
      <c r="E46" s="39"/>
      <c r="F46" s="14"/>
      <c r="G46" s="14"/>
      <c r="H46" s="14"/>
      <c r="I46" s="14"/>
      <c r="J46" s="15"/>
      <c r="K46" s="19"/>
      <c r="L46" s="14"/>
      <c r="M46" s="14"/>
      <c r="N46" s="14"/>
      <c r="O46" s="14"/>
      <c r="P46" s="14"/>
      <c r="Q46" s="14"/>
      <c r="R46" s="14"/>
      <c r="S46" s="14"/>
      <c r="T46" s="32"/>
      <c r="U46" s="29"/>
      <c r="V46" s="42"/>
      <c r="W46" s="48" t="s">
        <v>322</v>
      </c>
      <c r="X46" s="36">
        <f>C22+X45/2</f>
        <v>2.125</v>
      </c>
      <c r="Y46" s="79" t="s">
        <v>19</v>
      </c>
      <c r="Z46" s="22" t="s">
        <v>323</v>
      </c>
      <c r="AA46" s="22"/>
      <c r="AB46" s="32"/>
      <c r="AC46" s="32"/>
      <c r="AD46" s="32"/>
      <c r="AE46" s="32"/>
      <c r="AF46" s="135"/>
      <c r="AG46" s="135"/>
      <c r="AH46" s="135"/>
      <c r="AI46" s="327" t="s">
        <v>396</v>
      </c>
      <c r="AJ46" s="328">
        <v>37.4</v>
      </c>
      <c r="AK46" s="329">
        <v>0.96</v>
      </c>
      <c r="AL46" s="328">
        <v>12.2</v>
      </c>
      <c r="AM46" s="330">
        <v>1.73</v>
      </c>
      <c r="AN46" s="330">
        <v>2.48</v>
      </c>
      <c r="AO46" s="331">
        <v>895</v>
      </c>
      <c r="AP46" s="331">
        <v>1040</v>
      </c>
      <c r="AQ46" s="13">
        <v>42</v>
      </c>
      <c r="AR46" s="318" t="s">
        <v>167</v>
      </c>
      <c r="AS46" s="319">
        <v>12.3</v>
      </c>
      <c r="AT46" s="179">
        <v>3.61</v>
      </c>
      <c r="AU46" s="179">
        <v>6</v>
      </c>
      <c r="AV46" s="179">
        <v>4</v>
      </c>
      <c r="AW46" s="179">
        <v>0.375</v>
      </c>
      <c r="AX46" s="320">
        <v>0.875</v>
      </c>
      <c r="AY46" s="318">
        <v>0.875</v>
      </c>
      <c r="AZ46" s="319">
        <v>0.933</v>
      </c>
      <c r="BA46" s="179">
        <v>1.93</v>
      </c>
      <c r="BB46" s="179">
        <v>0.301</v>
      </c>
      <c r="BC46" s="179">
        <v>1.19</v>
      </c>
      <c r="BD46" s="179">
        <v>13.4</v>
      </c>
      <c r="BE46" s="320">
        <v>5.89</v>
      </c>
      <c r="BF46" s="318">
        <v>3.3</v>
      </c>
      <c r="BG46" s="319">
        <v>1.93</v>
      </c>
      <c r="BH46" s="179">
        <v>4.86</v>
      </c>
      <c r="BI46" s="179">
        <v>2.79</v>
      </c>
      <c r="BJ46" s="179">
        <v>1.58</v>
      </c>
      <c r="BK46" s="179">
        <v>1.16</v>
      </c>
      <c r="BL46" s="320">
        <v>0.87</v>
      </c>
      <c r="BM46" s="318">
        <v>0.177</v>
      </c>
      <c r="BN46" s="319">
        <v>0.369</v>
      </c>
      <c r="BO46" s="179">
        <v>2.94</v>
      </c>
      <c r="BP46" s="179">
        <v>0</v>
      </c>
      <c r="BQ46" s="179">
        <v>0.446</v>
      </c>
      <c r="BR46" s="179">
        <v>0.912</v>
      </c>
      <c r="BS46" s="320">
        <v>3.14</v>
      </c>
    </row>
    <row r="47" spans="1:71" ht="12.75">
      <c r="A47" s="54" t="s">
        <v>47</v>
      </c>
      <c r="B47" s="133">
        <f>$X$21</f>
        <v>21.623419827012643</v>
      </c>
      <c r="C47" s="101" t="s">
        <v>9</v>
      </c>
      <c r="D47" s="50" t="str">
        <f>$Z$21</f>
        <v>Rv = Minimum of:  W(total)/2 = w(unif)*L/2  or  V  (based on Mr or V)</v>
      </c>
      <c r="E47" s="43"/>
      <c r="F47" s="14"/>
      <c r="G47" s="14"/>
      <c r="H47" s="14"/>
      <c r="I47" s="14"/>
      <c r="J47" s="15"/>
      <c r="K47" s="19"/>
      <c r="L47" s="14"/>
      <c r="M47" s="14"/>
      <c r="N47" s="14"/>
      <c r="O47" s="14"/>
      <c r="P47" s="14"/>
      <c r="Q47" s="14"/>
      <c r="R47" s="14"/>
      <c r="S47" s="14"/>
      <c r="T47" s="32"/>
      <c r="U47" s="29"/>
      <c r="V47" s="42"/>
      <c r="W47" s="48" t="s">
        <v>321</v>
      </c>
      <c r="X47" s="36">
        <f>X46-0.375-O21</f>
        <v>1.375</v>
      </c>
      <c r="Y47" s="79" t="s">
        <v>19</v>
      </c>
      <c r="Z47" s="22" t="s">
        <v>324</v>
      </c>
      <c r="AA47" s="32"/>
      <c r="AB47" s="32"/>
      <c r="AC47" s="32"/>
      <c r="AD47" s="32"/>
      <c r="AE47" s="32"/>
      <c r="AF47" s="135"/>
      <c r="AG47" s="135"/>
      <c r="AH47" s="135"/>
      <c r="AI47" s="327" t="s">
        <v>397</v>
      </c>
      <c r="AJ47" s="328">
        <v>37.1</v>
      </c>
      <c r="AK47" s="329">
        <v>0.87</v>
      </c>
      <c r="AL47" s="328">
        <v>12.1</v>
      </c>
      <c r="AM47" s="330">
        <v>1.57</v>
      </c>
      <c r="AN47" s="330">
        <v>2.32</v>
      </c>
      <c r="AO47" s="331">
        <v>809</v>
      </c>
      <c r="AP47" s="331">
        <v>936</v>
      </c>
      <c r="AQ47" s="13">
        <v>43</v>
      </c>
      <c r="AR47" s="318" t="s">
        <v>168</v>
      </c>
      <c r="AS47" s="319">
        <v>10.3</v>
      </c>
      <c r="AT47" s="179">
        <v>3.03</v>
      </c>
      <c r="AU47" s="179">
        <v>6</v>
      </c>
      <c r="AV47" s="179">
        <v>4</v>
      </c>
      <c r="AW47" s="179">
        <v>0.3125</v>
      </c>
      <c r="AX47" s="320">
        <v>0.8125</v>
      </c>
      <c r="AY47" s="318">
        <v>0.8125</v>
      </c>
      <c r="AZ47" s="319">
        <v>0.908</v>
      </c>
      <c r="BA47" s="179">
        <v>1.9</v>
      </c>
      <c r="BB47" s="179">
        <v>0.252</v>
      </c>
      <c r="BC47" s="179">
        <v>1.16</v>
      </c>
      <c r="BD47" s="179">
        <v>11.4</v>
      </c>
      <c r="BE47" s="320">
        <v>4.96</v>
      </c>
      <c r="BF47" s="318">
        <v>2.77</v>
      </c>
      <c r="BG47" s="319">
        <v>1.94</v>
      </c>
      <c r="BH47" s="179">
        <v>4.13</v>
      </c>
      <c r="BI47" s="179">
        <v>2.33</v>
      </c>
      <c r="BJ47" s="179">
        <v>1.34</v>
      </c>
      <c r="BK47" s="179">
        <v>1.17</v>
      </c>
      <c r="BL47" s="320">
        <v>0.874</v>
      </c>
      <c r="BM47" s="318">
        <v>0.104</v>
      </c>
      <c r="BN47" s="319">
        <v>0.217</v>
      </c>
      <c r="BO47" s="179">
        <v>2.95</v>
      </c>
      <c r="BP47" s="179">
        <v>0</v>
      </c>
      <c r="BQ47" s="179">
        <v>0.449</v>
      </c>
      <c r="BR47" s="179">
        <v>0.826</v>
      </c>
      <c r="BS47" s="320">
        <v>3.14</v>
      </c>
    </row>
    <row r="48" spans="1:71" ht="15.75">
      <c r="A48" s="54"/>
      <c r="B48" s="3"/>
      <c r="C48" s="101"/>
      <c r="D48" s="43"/>
      <c r="E48" s="43"/>
      <c r="F48" s="14"/>
      <c r="G48" s="14"/>
      <c r="H48" s="14"/>
      <c r="I48" s="14"/>
      <c r="J48" s="15"/>
      <c r="K48" s="19"/>
      <c r="L48" s="14"/>
      <c r="M48" s="14"/>
      <c r="N48" s="14"/>
      <c r="O48" s="14"/>
      <c r="P48" s="14"/>
      <c r="Q48" s="14"/>
      <c r="R48" s="14"/>
      <c r="S48" s="14"/>
      <c r="T48" s="32"/>
      <c r="U48" s="29"/>
      <c r="V48" s="48"/>
      <c r="W48" s="48" t="s">
        <v>784</v>
      </c>
      <c r="X48" s="36">
        <f>(4*C17*X47/($N$15*$C$23/1.67))^0.5</f>
        <v>0.3112904592177537</v>
      </c>
      <c r="Y48" s="79" t="s">
        <v>19</v>
      </c>
      <c r="Z48" s="22" t="s">
        <v>785</v>
      </c>
      <c r="AA48" s="24"/>
      <c r="AB48" s="24"/>
      <c r="AC48" s="24"/>
      <c r="AD48" s="32"/>
      <c r="AE48" s="32"/>
      <c r="AF48" s="135"/>
      <c r="AG48" s="135"/>
      <c r="AH48" s="135"/>
      <c r="AI48" s="327" t="s">
        <v>398</v>
      </c>
      <c r="AJ48" s="328">
        <v>36.7</v>
      </c>
      <c r="AK48" s="329">
        <v>0.83</v>
      </c>
      <c r="AL48" s="328">
        <v>12.2</v>
      </c>
      <c r="AM48" s="330">
        <v>1.36</v>
      </c>
      <c r="AN48" s="330">
        <v>2.11</v>
      </c>
      <c r="AO48" s="331">
        <v>719</v>
      </c>
      <c r="AP48" s="331">
        <v>833</v>
      </c>
      <c r="AQ48" s="13">
        <v>44</v>
      </c>
      <c r="AR48" s="318" t="s">
        <v>169</v>
      </c>
      <c r="AS48" s="319">
        <v>15.4</v>
      </c>
      <c r="AT48" s="179">
        <v>4.52</v>
      </c>
      <c r="AU48" s="179">
        <v>6</v>
      </c>
      <c r="AV48" s="179">
        <v>3.5</v>
      </c>
      <c r="AW48" s="179">
        <v>0.5</v>
      </c>
      <c r="AX48" s="320">
        <v>1</v>
      </c>
      <c r="AY48" s="318">
        <v>1</v>
      </c>
      <c r="AZ48" s="319">
        <v>0.829</v>
      </c>
      <c r="BA48" s="179">
        <v>2.07</v>
      </c>
      <c r="BB48" s="179">
        <v>0.376</v>
      </c>
      <c r="BC48" s="179">
        <v>1.48</v>
      </c>
      <c r="BD48" s="179">
        <v>16.6</v>
      </c>
      <c r="BE48" s="320">
        <v>7.49</v>
      </c>
      <c r="BF48" s="318">
        <v>4.23</v>
      </c>
      <c r="BG48" s="319">
        <v>1.92</v>
      </c>
      <c r="BH48" s="179">
        <v>4.24</v>
      </c>
      <c r="BI48" s="179">
        <v>2.88</v>
      </c>
      <c r="BJ48" s="179">
        <v>1.59</v>
      </c>
      <c r="BK48" s="179">
        <v>0.968</v>
      </c>
      <c r="BL48" s="320">
        <v>0.756</v>
      </c>
      <c r="BM48" s="318">
        <v>0.386</v>
      </c>
      <c r="BN48" s="319">
        <v>0.779</v>
      </c>
      <c r="BO48" s="179">
        <v>2.88</v>
      </c>
      <c r="BP48" s="179">
        <v>0</v>
      </c>
      <c r="BQ48" s="179">
        <v>0.343</v>
      </c>
      <c r="BR48" s="179">
        <v>1</v>
      </c>
      <c r="BS48" s="320">
        <v>3.69</v>
      </c>
    </row>
    <row r="49" spans="1:71" ht="12.75">
      <c r="A49" s="54"/>
      <c r="B49" s="3"/>
      <c r="C49" s="101"/>
      <c r="D49" s="43"/>
      <c r="E49" s="43"/>
      <c r="F49" s="14"/>
      <c r="G49" s="14"/>
      <c r="H49" s="14"/>
      <c r="I49" s="14"/>
      <c r="J49" s="15"/>
      <c r="K49" s="19"/>
      <c r="L49" s="14"/>
      <c r="M49" s="14"/>
      <c r="N49" s="14"/>
      <c r="O49" s="14"/>
      <c r="P49" s="14"/>
      <c r="Q49" s="14"/>
      <c r="R49" s="14"/>
      <c r="S49" s="14"/>
      <c r="T49" s="32"/>
      <c r="U49" s="105"/>
      <c r="V49" s="42"/>
      <c r="W49" s="28" t="s">
        <v>333</v>
      </c>
      <c r="X49" s="29">
        <f>IF(O19=O20,2,1)</f>
        <v>1</v>
      </c>
      <c r="Y49" s="29"/>
      <c r="Z49" s="24" t="s">
        <v>788</v>
      </c>
      <c r="AA49" s="24"/>
      <c r="AB49" s="24"/>
      <c r="AC49" s="24"/>
      <c r="AD49" s="32"/>
      <c r="AE49" s="32"/>
      <c r="AF49" s="135"/>
      <c r="AG49" s="135"/>
      <c r="AH49" s="135"/>
      <c r="AI49" s="327" t="s">
        <v>399</v>
      </c>
      <c r="AJ49" s="328">
        <v>36.5</v>
      </c>
      <c r="AK49" s="329">
        <v>0.765</v>
      </c>
      <c r="AL49" s="328">
        <v>12.1</v>
      </c>
      <c r="AM49" s="330">
        <v>1.26</v>
      </c>
      <c r="AN49" s="330">
        <v>2.01</v>
      </c>
      <c r="AO49" s="331">
        <v>664</v>
      </c>
      <c r="AP49" s="331">
        <v>767</v>
      </c>
      <c r="AQ49" s="13">
        <v>45</v>
      </c>
      <c r="AR49" s="318" t="s">
        <v>170</v>
      </c>
      <c r="AS49" s="319">
        <v>11.7</v>
      </c>
      <c r="AT49" s="179">
        <v>3.44</v>
      </c>
      <c r="AU49" s="179">
        <v>6</v>
      </c>
      <c r="AV49" s="179">
        <v>3.5</v>
      </c>
      <c r="AW49" s="179">
        <v>0.375</v>
      </c>
      <c r="AX49" s="320">
        <v>0.875</v>
      </c>
      <c r="AY49" s="318">
        <v>0.875</v>
      </c>
      <c r="AZ49" s="319">
        <v>0.781</v>
      </c>
      <c r="BA49" s="179">
        <v>2.02</v>
      </c>
      <c r="BB49" s="179">
        <v>0.287</v>
      </c>
      <c r="BC49" s="179">
        <v>1.41</v>
      </c>
      <c r="BD49" s="179">
        <v>12.9</v>
      </c>
      <c r="BE49" s="320">
        <v>5.74</v>
      </c>
      <c r="BF49" s="318">
        <v>3.23</v>
      </c>
      <c r="BG49" s="319">
        <v>1.93</v>
      </c>
      <c r="BH49" s="179">
        <v>3.33</v>
      </c>
      <c r="BI49" s="179">
        <v>2.18</v>
      </c>
      <c r="BJ49" s="179">
        <v>1.22</v>
      </c>
      <c r="BK49" s="179">
        <v>0.984</v>
      </c>
      <c r="BL49" s="320">
        <v>0.763</v>
      </c>
      <c r="BM49" s="318">
        <v>0.168</v>
      </c>
      <c r="BN49" s="319">
        <v>0.341</v>
      </c>
      <c r="BO49" s="179">
        <v>2.9</v>
      </c>
      <c r="BP49" s="179">
        <v>0</v>
      </c>
      <c r="BQ49" s="179">
        <v>0.34900000000000003</v>
      </c>
      <c r="BR49" s="179">
        <v>0.912</v>
      </c>
      <c r="BS49" s="320">
        <v>3.69</v>
      </c>
    </row>
    <row r="50" spans="1:71" ht="12.75">
      <c r="A50" s="54"/>
      <c r="B50" s="3"/>
      <c r="C50" s="101"/>
      <c r="D50" s="43"/>
      <c r="E50" s="39"/>
      <c r="F50" s="14"/>
      <c r="G50" s="14"/>
      <c r="H50" s="47"/>
      <c r="I50" s="14"/>
      <c r="J50" s="15"/>
      <c r="K50" s="19"/>
      <c r="L50" s="14"/>
      <c r="M50" s="14"/>
      <c r="N50" s="14"/>
      <c r="O50" s="14"/>
      <c r="P50" s="14"/>
      <c r="Q50" s="14"/>
      <c r="R50" s="14"/>
      <c r="S50" s="309"/>
      <c r="T50" s="32"/>
      <c r="U50" s="105"/>
      <c r="V50" s="24"/>
      <c r="W50" s="24"/>
      <c r="X50" s="24"/>
      <c r="Y50" s="29"/>
      <c r="Z50" s="24"/>
      <c r="AA50" s="24"/>
      <c r="AB50" s="24"/>
      <c r="AC50" s="24"/>
      <c r="AD50" s="32"/>
      <c r="AE50" s="32"/>
      <c r="AF50" s="32"/>
      <c r="AG50" s="32"/>
      <c r="AH50" s="32"/>
      <c r="AI50" s="327" t="s">
        <v>400</v>
      </c>
      <c r="AJ50" s="328">
        <v>36.3</v>
      </c>
      <c r="AK50" s="329">
        <v>0.725</v>
      </c>
      <c r="AL50" s="328">
        <v>12.1</v>
      </c>
      <c r="AM50" s="330">
        <v>1.18</v>
      </c>
      <c r="AN50" s="330">
        <v>1.93</v>
      </c>
      <c r="AO50" s="331">
        <v>623</v>
      </c>
      <c r="AP50" s="331">
        <v>718</v>
      </c>
      <c r="AQ50" s="13">
        <v>46</v>
      </c>
      <c r="AR50" s="318" t="s">
        <v>171</v>
      </c>
      <c r="AS50" s="319">
        <v>9.83</v>
      </c>
      <c r="AT50" s="179">
        <v>2.89</v>
      </c>
      <c r="AU50" s="179">
        <v>6</v>
      </c>
      <c r="AV50" s="179">
        <v>3.5</v>
      </c>
      <c r="AW50" s="179">
        <v>0.3125</v>
      </c>
      <c r="AX50" s="320">
        <v>0.8125</v>
      </c>
      <c r="AY50" s="318">
        <v>0.8125</v>
      </c>
      <c r="AZ50" s="319">
        <v>0.756</v>
      </c>
      <c r="BA50" s="179">
        <v>2</v>
      </c>
      <c r="BB50" s="179">
        <v>0.241</v>
      </c>
      <c r="BC50" s="179">
        <v>1.38</v>
      </c>
      <c r="BD50" s="179">
        <v>10.9</v>
      </c>
      <c r="BE50" s="320">
        <v>4.84</v>
      </c>
      <c r="BF50" s="318">
        <v>2.72</v>
      </c>
      <c r="BG50" s="319">
        <v>1.94</v>
      </c>
      <c r="BH50" s="179">
        <v>2.84</v>
      </c>
      <c r="BI50" s="179">
        <v>1.82</v>
      </c>
      <c r="BJ50" s="179">
        <v>1.03</v>
      </c>
      <c r="BK50" s="179">
        <v>0.991</v>
      </c>
      <c r="BL50" s="320">
        <v>0.767</v>
      </c>
      <c r="BM50" s="318">
        <v>0.099</v>
      </c>
      <c r="BN50" s="319">
        <v>0.201</v>
      </c>
      <c r="BO50" s="179">
        <v>2.92</v>
      </c>
      <c r="BP50" s="179">
        <v>0</v>
      </c>
      <c r="BQ50" s="179">
        <v>0.352</v>
      </c>
      <c r="BR50" s="179">
        <v>0.826</v>
      </c>
      <c r="BS50" s="320">
        <v>3.69</v>
      </c>
    </row>
    <row r="51" spans="1:71" ht="12.75">
      <c r="A51" s="54"/>
      <c r="B51" s="3"/>
      <c r="C51" s="101"/>
      <c r="D51" s="43"/>
      <c r="E51" s="43"/>
      <c r="F51" s="14"/>
      <c r="G51" s="14"/>
      <c r="H51" s="51"/>
      <c r="I51" s="14"/>
      <c r="J51" s="15"/>
      <c r="K51" s="19"/>
      <c r="L51" s="14"/>
      <c r="M51" s="14"/>
      <c r="N51" s="14"/>
      <c r="O51" s="14"/>
      <c r="P51" s="14"/>
      <c r="Q51" s="14"/>
      <c r="R51" s="14"/>
      <c r="S51" s="14"/>
      <c r="T51" s="32"/>
      <c r="U51" s="105"/>
      <c r="V51" s="24"/>
      <c r="W51" s="87"/>
      <c r="X51" s="8"/>
      <c r="Y51" s="79"/>
      <c r="Z51" s="41"/>
      <c r="AA51" s="32"/>
      <c r="AB51" s="32"/>
      <c r="AC51" s="41"/>
      <c r="AD51" s="32"/>
      <c r="AE51" s="32"/>
      <c r="AF51" s="344"/>
      <c r="AG51" s="344"/>
      <c r="AH51" s="344"/>
      <c r="AI51" s="327" t="s">
        <v>401</v>
      </c>
      <c r="AJ51" s="328">
        <v>36.2</v>
      </c>
      <c r="AK51" s="329">
        <v>0.68</v>
      </c>
      <c r="AL51" s="328">
        <v>12</v>
      </c>
      <c r="AM51" s="330">
        <v>1.1</v>
      </c>
      <c r="AN51" s="330">
        <v>1.85</v>
      </c>
      <c r="AO51" s="331">
        <v>581</v>
      </c>
      <c r="AP51" s="331">
        <v>668</v>
      </c>
      <c r="AQ51" s="13">
        <v>47</v>
      </c>
      <c r="AR51" s="318" t="s">
        <v>172</v>
      </c>
      <c r="AS51" s="319">
        <v>27.3</v>
      </c>
      <c r="AT51" s="179">
        <v>8.02</v>
      </c>
      <c r="AU51" s="179">
        <v>5</v>
      </c>
      <c r="AV51" s="179">
        <v>5</v>
      </c>
      <c r="AW51" s="179">
        <v>0.875</v>
      </c>
      <c r="AX51" s="320">
        <v>1.375</v>
      </c>
      <c r="AY51" s="318">
        <v>1.375</v>
      </c>
      <c r="AZ51" s="319">
        <v>1.56</v>
      </c>
      <c r="BA51" s="179">
        <v>1.56</v>
      </c>
      <c r="BB51" s="179">
        <v>0.802</v>
      </c>
      <c r="BC51" s="179">
        <v>0.802</v>
      </c>
      <c r="BD51" s="179">
        <v>17.8</v>
      </c>
      <c r="BE51" s="320">
        <v>9.31</v>
      </c>
      <c r="BF51" s="318">
        <v>5.16</v>
      </c>
      <c r="BG51" s="319">
        <v>1.49</v>
      </c>
      <c r="BH51" s="179">
        <v>17.8</v>
      </c>
      <c r="BI51" s="179">
        <v>9.3</v>
      </c>
      <c r="BJ51" s="179">
        <v>5.16</v>
      </c>
      <c r="BK51" s="179">
        <v>1.49</v>
      </c>
      <c r="BL51" s="320">
        <v>0.971</v>
      </c>
      <c r="BM51" s="318">
        <v>2.07</v>
      </c>
      <c r="BN51" s="319">
        <v>3.53</v>
      </c>
      <c r="BO51" s="179">
        <v>2.64</v>
      </c>
      <c r="BP51" s="179">
        <v>0.638</v>
      </c>
      <c r="BQ51" s="179">
        <v>1</v>
      </c>
      <c r="BR51" s="179">
        <v>1</v>
      </c>
      <c r="BS51" s="320">
        <v>0</v>
      </c>
    </row>
    <row r="52" spans="1:71" ht="12.75">
      <c r="A52" s="276"/>
      <c r="B52" s="277"/>
      <c r="C52" s="277"/>
      <c r="D52" s="277"/>
      <c r="E52" s="277"/>
      <c r="F52" s="277"/>
      <c r="G52" s="277"/>
      <c r="H52" s="290"/>
      <c r="I52" s="277"/>
      <c r="J52" s="289" t="s">
        <v>342</v>
      </c>
      <c r="T52" s="24"/>
      <c r="U52" s="105"/>
      <c r="V52" s="24"/>
      <c r="W52" s="87"/>
      <c r="X52" s="8"/>
      <c r="Y52" s="79"/>
      <c r="Z52" s="32"/>
      <c r="AA52" s="32"/>
      <c r="AB52" s="32"/>
      <c r="AC52" s="32"/>
      <c r="AD52" s="32"/>
      <c r="AE52" s="32"/>
      <c r="AF52" s="32"/>
      <c r="AG52" s="32"/>
      <c r="AH52" s="32"/>
      <c r="AI52" s="327" t="s">
        <v>402</v>
      </c>
      <c r="AJ52" s="328">
        <v>36</v>
      </c>
      <c r="AK52" s="329">
        <v>0.65</v>
      </c>
      <c r="AL52" s="328">
        <v>12</v>
      </c>
      <c r="AM52" s="330">
        <v>1.02</v>
      </c>
      <c r="AN52" s="330">
        <v>1.77</v>
      </c>
      <c r="AO52" s="331">
        <v>542</v>
      </c>
      <c r="AP52" s="331">
        <v>624</v>
      </c>
      <c r="AQ52" s="13">
        <v>48</v>
      </c>
      <c r="AR52" s="318" t="s">
        <v>173</v>
      </c>
      <c r="AS52" s="319">
        <v>23.7</v>
      </c>
      <c r="AT52" s="179">
        <v>6.98</v>
      </c>
      <c r="AU52" s="179">
        <v>5</v>
      </c>
      <c r="AV52" s="179">
        <v>5</v>
      </c>
      <c r="AW52" s="179">
        <v>0.75</v>
      </c>
      <c r="AX52" s="320">
        <v>1.25</v>
      </c>
      <c r="AY52" s="318">
        <v>1.25</v>
      </c>
      <c r="AZ52" s="319">
        <v>1.52</v>
      </c>
      <c r="BA52" s="179">
        <v>1.52</v>
      </c>
      <c r="BB52" s="179">
        <v>0.698</v>
      </c>
      <c r="BC52" s="179">
        <v>0.698</v>
      </c>
      <c r="BD52" s="179">
        <v>15.7</v>
      </c>
      <c r="BE52" s="320">
        <v>8.14</v>
      </c>
      <c r="BF52" s="318">
        <v>4.52</v>
      </c>
      <c r="BG52" s="319">
        <v>1.5</v>
      </c>
      <c r="BH52" s="179">
        <v>15.7</v>
      </c>
      <c r="BI52" s="179">
        <v>8.14</v>
      </c>
      <c r="BJ52" s="179">
        <v>4.52</v>
      </c>
      <c r="BK52" s="179">
        <v>1.5</v>
      </c>
      <c r="BL52" s="320">
        <v>0.972</v>
      </c>
      <c r="BM52" s="318">
        <v>1.33</v>
      </c>
      <c r="BN52" s="319">
        <v>2.32</v>
      </c>
      <c r="BO52" s="179">
        <v>2.67</v>
      </c>
      <c r="BP52" s="179">
        <v>0.632</v>
      </c>
      <c r="BQ52" s="179">
        <v>1</v>
      </c>
      <c r="BR52" s="179">
        <v>1</v>
      </c>
      <c r="BS52" s="320">
        <v>0</v>
      </c>
    </row>
    <row r="53" spans="1:71" ht="12.75">
      <c r="A53" s="302"/>
      <c r="B53" s="301"/>
      <c r="C53" s="301"/>
      <c r="D53" s="301"/>
      <c r="E53" s="301"/>
      <c r="F53" s="301"/>
      <c r="G53" s="301"/>
      <c r="H53" s="301"/>
      <c r="I53" s="301"/>
      <c r="J53" s="300"/>
      <c r="T53" s="24"/>
      <c r="U53" s="105"/>
      <c r="V53" s="24"/>
      <c r="W53" s="70"/>
      <c r="X53" s="32"/>
      <c r="Y53" s="88"/>
      <c r="Z53" s="32"/>
      <c r="AA53" s="32"/>
      <c r="AB53" s="32"/>
      <c r="AC53" s="32"/>
      <c r="AD53" s="32"/>
      <c r="AE53" s="32"/>
      <c r="AF53" s="342"/>
      <c r="AG53" s="342"/>
      <c r="AH53" s="342"/>
      <c r="AI53" s="327" t="s">
        <v>403</v>
      </c>
      <c r="AJ53" s="328">
        <v>35.9</v>
      </c>
      <c r="AK53" s="329">
        <v>0.625</v>
      </c>
      <c r="AL53" s="328">
        <v>12</v>
      </c>
      <c r="AM53" s="329">
        <v>0.94</v>
      </c>
      <c r="AN53" s="330">
        <v>1.69</v>
      </c>
      <c r="AO53" s="331">
        <v>504</v>
      </c>
      <c r="AP53" s="331">
        <v>581</v>
      </c>
      <c r="AQ53" s="13">
        <v>49</v>
      </c>
      <c r="AR53" s="318" t="s">
        <v>174</v>
      </c>
      <c r="AS53" s="319">
        <v>20.1</v>
      </c>
      <c r="AT53" s="179">
        <v>5.9</v>
      </c>
      <c r="AU53" s="179">
        <v>5</v>
      </c>
      <c r="AV53" s="179">
        <v>5</v>
      </c>
      <c r="AW53" s="179">
        <v>0.625</v>
      </c>
      <c r="AX53" s="320">
        <v>1.125</v>
      </c>
      <c r="AY53" s="318">
        <v>1.125</v>
      </c>
      <c r="AZ53" s="319">
        <v>1.47</v>
      </c>
      <c r="BA53" s="179">
        <v>1.47</v>
      </c>
      <c r="BB53" s="179">
        <v>0.59</v>
      </c>
      <c r="BC53" s="179">
        <v>0.59</v>
      </c>
      <c r="BD53" s="179">
        <v>13.6</v>
      </c>
      <c r="BE53" s="320">
        <v>6.93</v>
      </c>
      <c r="BF53" s="318">
        <v>3.85</v>
      </c>
      <c r="BG53" s="319">
        <v>1.52</v>
      </c>
      <c r="BH53" s="179">
        <v>13.6</v>
      </c>
      <c r="BI53" s="179">
        <v>6.92</v>
      </c>
      <c r="BJ53" s="179">
        <v>3.85</v>
      </c>
      <c r="BK53" s="179">
        <v>1.52</v>
      </c>
      <c r="BL53" s="320">
        <v>0.975</v>
      </c>
      <c r="BM53" s="318">
        <v>0.792</v>
      </c>
      <c r="BN53" s="319">
        <v>1.4</v>
      </c>
      <c r="BO53" s="179">
        <v>2.7</v>
      </c>
      <c r="BP53" s="179">
        <v>0.633</v>
      </c>
      <c r="BQ53" s="179">
        <v>1</v>
      </c>
      <c r="BR53" s="179">
        <v>1</v>
      </c>
      <c r="BS53" s="320">
        <v>0</v>
      </c>
    </row>
    <row r="54" spans="1:71" ht="12.75">
      <c r="A54" s="108" t="s">
        <v>815</v>
      </c>
      <c r="B54" s="39"/>
      <c r="C54" s="7"/>
      <c r="D54" s="39"/>
      <c r="E54" s="39"/>
      <c r="F54" s="39"/>
      <c r="G54" s="39"/>
      <c r="H54" s="14"/>
      <c r="I54" s="14"/>
      <c r="J54" s="15"/>
      <c r="T54" s="24"/>
      <c r="U54" s="105"/>
      <c r="V54" s="24"/>
      <c r="W54" s="22"/>
      <c r="X54" s="32"/>
      <c r="Y54" s="32"/>
      <c r="Z54" s="79"/>
      <c r="AA54" s="32"/>
      <c r="AB54" s="32"/>
      <c r="AC54" s="32"/>
      <c r="AD54" s="32"/>
      <c r="AE54" s="32"/>
      <c r="AF54" s="343"/>
      <c r="AG54" s="343"/>
      <c r="AH54" s="343"/>
      <c r="AI54" s="327" t="s">
        <v>404</v>
      </c>
      <c r="AJ54" s="328">
        <v>35.6</v>
      </c>
      <c r="AK54" s="329">
        <v>0.6</v>
      </c>
      <c r="AL54" s="328">
        <v>12</v>
      </c>
      <c r="AM54" s="329">
        <v>0.79</v>
      </c>
      <c r="AN54" s="330">
        <v>1.54</v>
      </c>
      <c r="AO54" s="331">
        <v>439</v>
      </c>
      <c r="AP54" s="331">
        <v>509</v>
      </c>
      <c r="AQ54" s="13">
        <v>50</v>
      </c>
      <c r="AR54" s="318" t="s">
        <v>175</v>
      </c>
      <c r="AS54" s="319">
        <v>16.3</v>
      </c>
      <c r="AT54" s="179">
        <v>4.79</v>
      </c>
      <c r="AU54" s="179">
        <v>5</v>
      </c>
      <c r="AV54" s="179">
        <v>5</v>
      </c>
      <c r="AW54" s="179">
        <v>0.5</v>
      </c>
      <c r="AX54" s="320">
        <v>1</v>
      </c>
      <c r="AY54" s="318">
        <v>1</v>
      </c>
      <c r="AZ54" s="319">
        <v>1.42</v>
      </c>
      <c r="BA54" s="179">
        <v>1.42</v>
      </c>
      <c r="BB54" s="179">
        <v>0.479</v>
      </c>
      <c r="BC54" s="179">
        <v>0.479</v>
      </c>
      <c r="BD54" s="179">
        <v>11.3</v>
      </c>
      <c r="BE54" s="320">
        <v>5.66</v>
      </c>
      <c r="BF54" s="318">
        <v>3.15</v>
      </c>
      <c r="BG54" s="319">
        <v>1.53</v>
      </c>
      <c r="BH54" s="179">
        <v>11.3</v>
      </c>
      <c r="BI54" s="179">
        <v>5.66</v>
      </c>
      <c r="BJ54" s="179">
        <v>3.15</v>
      </c>
      <c r="BK54" s="179">
        <v>1.53</v>
      </c>
      <c r="BL54" s="320">
        <v>0.98</v>
      </c>
      <c r="BM54" s="318">
        <v>0.417</v>
      </c>
      <c r="BN54" s="319">
        <v>0.744</v>
      </c>
      <c r="BO54" s="179">
        <v>2.73</v>
      </c>
      <c r="BP54" s="179">
        <v>0.632</v>
      </c>
      <c r="BQ54" s="179">
        <v>1</v>
      </c>
      <c r="BR54" s="179">
        <v>1</v>
      </c>
      <c r="BS54" s="320">
        <v>0</v>
      </c>
    </row>
    <row r="55" spans="1:71" ht="12.75">
      <c r="A55" s="253" t="s">
        <v>765</v>
      </c>
      <c r="B55" s="131">
        <f>$X$24</f>
        <v>13.200000000000001</v>
      </c>
      <c r="C55" s="101" t="s">
        <v>9</v>
      </c>
      <c r="D55" s="215" t="str">
        <f>$Z$24</f>
        <v>R1/Ω = 2.5*k*Fy*tw / Ω  (Ω = 1.5, Constant for web yielding - AISC page 9-18)</v>
      </c>
      <c r="E55" s="39"/>
      <c r="F55" s="39"/>
      <c r="G55" s="2"/>
      <c r="H55" s="14"/>
      <c r="I55" s="14"/>
      <c r="J55" s="15"/>
      <c r="T55" s="24"/>
      <c r="U55" s="105"/>
      <c r="V55" s="24"/>
      <c r="W55" s="87"/>
      <c r="X55" s="10"/>
      <c r="Y55" s="79"/>
      <c r="Z55" s="32"/>
      <c r="AA55" s="32"/>
      <c r="AB55" s="32"/>
      <c r="AC55" s="32"/>
      <c r="AD55" s="32"/>
      <c r="AE55" s="32"/>
      <c r="AF55" s="32"/>
      <c r="AG55" s="32"/>
      <c r="AH55" s="32"/>
      <c r="AI55" s="327" t="s">
        <v>405</v>
      </c>
      <c r="AJ55" s="328">
        <v>36</v>
      </c>
      <c r="AK55" s="330">
        <v>1.26</v>
      </c>
      <c r="AL55" s="328">
        <v>16.2</v>
      </c>
      <c r="AM55" s="330">
        <v>2.28</v>
      </c>
      <c r="AN55" s="330">
        <v>3.07</v>
      </c>
      <c r="AO55" s="331">
        <v>1350</v>
      </c>
      <c r="AP55" s="331">
        <v>1560</v>
      </c>
      <c r="AQ55" s="13">
        <v>51</v>
      </c>
      <c r="AR55" s="318" t="s">
        <v>176</v>
      </c>
      <c r="AS55" s="319">
        <v>14.4</v>
      </c>
      <c r="AT55" s="179">
        <v>4.22</v>
      </c>
      <c r="AU55" s="179">
        <v>5</v>
      </c>
      <c r="AV55" s="179">
        <v>5</v>
      </c>
      <c r="AW55" s="179">
        <v>0.4375</v>
      </c>
      <c r="AX55" s="320">
        <v>0.9375</v>
      </c>
      <c r="AY55" s="318">
        <v>0.9375</v>
      </c>
      <c r="AZ55" s="319">
        <v>1.4</v>
      </c>
      <c r="BA55" s="179">
        <v>1.4</v>
      </c>
      <c r="BB55" s="179">
        <v>0.422</v>
      </c>
      <c r="BC55" s="179">
        <v>0.422</v>
      </c>
      <c r="BD55" s="179">
        <v>10</v>
      </c>
      <c r="BE55" s="320">
        <v>5</v>
      </c>
      <c r="BF55" s="318">
        <v>2.78</v>
      </c>
      <c r="BG55" s="319">
        <v>1.54</v>
      </c>
      <c r="BH55" s="179">
        <v>10</v>
      </c>
      <c r="BI55" s="179">
        <v>5</v>
      </c>
      <c r="BJ55" s="179">
        <v>2.78</v>
      </c>
      <c r="BK55" s="179">
        <v>1.54</v>
      </c>
      <c r="BL55" s="320">
        <v>0.983</v>
      </c>
      <c r="BM55" s="318">
        <v>0.284</v>
      </c>
      <c r="BN55" s="319">
        <v>0.508</v>
      </c>
      <c r="BO55" s="179">
        <v>2.75</v>
      </c>
      <c r="BP55" s="179">
        <v>0.63</v>
      </c>
      <c r="BQ55" s="179">
        <v>1</v>
      </c>
      <c r="BR55" s="179">
        <v>1</v>
      </c>
      <c r="BS55" s="320">
        <v>0</v>
      </c>
    </row>
    <row r="56" spans="1:71" ht="12.75">
      <c r="A56" s="253" t="s">
        <v>767</v>
      </c>
      <c r="B56" s="132">
        <f>$X$25</f>
        <v>8</v>
      </c>
      <c r="C56" s="101" t="s">
        <v>44</v>
      </c>
      <c r="D56" s="43" t="str">
        <f>$Z$25</f>
        <v>R2/Ω = Fy*tw / Ω  (Ω = 1.5, Constant for web yielding - AISC page 9-18)</v>
      </c>
      <c r="E56" s="39"/>
      <c r="F56" s="2"/>
      <c r="G56" s="4"/>
      <c r="H56" s="39"/>
      <c r="I56" s="39"/>
      <c r="J56" s="15"/>
      <c r="T56" s="24"/>
      <c r="U56" s="105"/>
      <c r="V56" s="24"/>
      <c r="W56" s="87"/>
      <c r="X56" s="12"/>
      <c r="Y56" s="79"/>
      <c r="Z56" s="32"/>
      <c r="AA56" s="32"/>
      <c r="AB56" s="32"/>
      <c r="AC56" s="32"/>
      <c r="AD56" s="32"/>
      <c r="AE56" s="32"/>
      <c r="AF56" s="135"/>
      <c r="AG56" s="135"/>
      <c r="AH56" s="135"/>
      <c r="AI56" s="327" t="s">
        <v>406</v>
      </c>
      <c r="AJ56" s="328">
        <v>35.6</v>
      </c>
      <c r="AK56" s="330">
        <v>1.16</v>
      </c>
      <c r="AL56" s="328">
        <v>16.1</v>
      </c>
      <c r="AM56" s="330">
        <v>2.09</v>
      </c>
      <c r="AN56" s="330">
        <v>2.88</v>
      </c>
      <c r="AO56" s="331">
        <v>1240</v>
      </c>
      <c r="AP56" s="331">
        <v>1420</v>
      </c>
      <c r="AQ56" s="13">
        <v>52</v>
      </c>
      <c r="AR56" s="318" t="s">
        <v>177</v>
      </c>
      <c r="AS56" s="319">
        <v>12.4</v>
      </c>
      <c r="AT56" s="179">
        <v>3.65</v>
      </c>
      <c r="AU56" s="179">
        <v>5</v>
      </c>
      <c r="AV56" s="179">
        <v>5</v>
      </c>
      <c r="AW56" s="179">
        <v>0.375</v>
      </c>
      <c r="AX56" s="320">
        <v>0.875</v>
      </c>
      <c r="AY56" s="318">
        <v>0.875</v>
      </c>
      <c r="AZ56" s="319">
        <v>1.37</v>
      </c>
      <c r="BA56" s="179">
        <v>1.37</v>
      </c>
      <c r="BB56" s="179">
        <v>0.365</v>
      </c>
      <c r="BC56" s="179">
        <v>0.365</v>
      </c>
      <c r="BD56" s="179">
        <v>8.76</v>
      </c>
      <c r="BE56" s="320">
        <v>4.33</v>
      </c>
      <c r="BF56" s="318">
        <v>2.41</v>
      </c>
      <c r="BG56" s="319">
        <v>1.55</v>
      </c>
      <c r="BH56" s="179">
        <v>8.76</v>
      </c>
      <c r="BI56" s="179">
        <v>4.33</v>
      </c>
      <c r="BJ56" s="179">
        <v>2.41</v>
      </c>
      <c r="BK56" s="179">
        <v>1.55</v>
      </c>
      <c r="BL56" s="320">
        <v>0.986</v>
      </c>
      <c r="BM56" s="318">
        <v>0.183</v>
      </c>
      <c r="BN56" s="319">
        <v>0.327</v>
      </c>
      <c r="BO56" s="179">
        <v>2.76</v>
      </c>
      <c r="BP56" s="179">
        <v>0.632</v>
      </c>
      <c r="BQ56" s="179">
        <v>1</v>
      </c>
      <c r="BR56" s="179">
        <v>0.9829701065350602</v>
      </c>
      <c r="BS56" s="320">
        <v>0</v>
      </c>
    </row>
    <row r="57" spans="1:71" ht="12.75">
      <c r="A57" s="253" t="s">
        <v>769</v>
      </c>
      <c r="B57" s="132">
        <f>$X$26</f>
        <v>16.98955914672303</v>
      </c>
      <c r="C57" s="101" t="s">
        <v>9</v>
      </c>
      <c r="D57" s="43" t="str">
        <f>$Z$26</f>
        <v>R3/Ω = { 0.40*tw^2*sqrt(E*Fy*tf / tw) } / Ω</v>
      </c>
      <c r="E57" s="43"/>
      <c r="F57" s="47"/>
      <c r="G57" s="40"/>
      <c r="H57" s="2"/>
      <c r="I57" s="68"/>
      <c r="J57" s="15"/>
      <c r="T57" s="24"/>
      <c r="U57" s="24"/>
      <c r="V57" s="24"/>
      <c r="W57" s="87"/>
      <c r="X57" s="10"/>
      <c r="Y57" s="79"/>
      <c r="Z57" s="79"/>
      <c r="AA57" s="32"/>
      <c r="AB57" s="32"/>
      <c r="AC57" s="32"/>
      <c r="AD57" s="32"/>
      <c r="AE57" s="32"/>
      <c r="AF57" s="135"/>
      <c r="AG57" s="135"/>
      <c r="AH57" s="135"/>
      <c r="AI57" s="327" t="s">
        <v>407</v>
      </c>
      <c r="AJ57" s="328">
        <v>35.2</v>
      </c>
      <c r="AK57" s="330">
        <v>1.04</v>
      </c>
      <c r="AL57" s="328">
        <v>16</v>
      </c>
      <c r="AM57" s="330">
        <v>1.89</v>
      </c>
      <c r="AN57" s="330">
        <v>2.68</v>
      </c>
      <c r="AO57" s="331">
        <v>1110</v>
      </c>
      <c r="AP57" s="331">
        <v>1270</v>
      </c>
      <c r="AQ57" s="13">
        <v>53</v>
      </c>
      <c r="AR57" s="318" t="s">
        <v>178</v>
      </c>
      <c r="AS57" s="319">
        <v>10.4</v>
      </c>
      <c r="AT57" s="179">
        <v>3.07</v>
      </c>
      <c r="AU57" s="179">
        <v>5</v>
      </c>
      <c r="AV57" s="179">
        <v>5</v>
      </c>
      <c r="AW57" s="179">
        <v>0.3125</v>
      </c>
      <c r="AX57" s="320">
        <v>0.8125</v>
      </c>
      <c r="AY57" s="318">
        <v>0.8125</v>
      </c>
      <c r="AZ57" s="319">
        <v>1.35</v>
      </c>
      <c r="BA57" s="179">
        <v>1.35</v>
      </c>
      <c r="BB57" s="179">
        <v>0.307</v>
      </c>
      <c r="BC57" s="179">
        <v>0.307</v>
      </c>
      <c r="BD57" s="179">
        <v>7.44</v>
      </c>
      <c r="BE57" s="320">
        <v>3.65</v>
      </c>
      <c r="BF57" s="318">
        <v>2.04</v>
      </c>
      <c r="BG57" s="319">
        <v>1.56</v>
      </c>
      <c r="BH57" s="179">
        <v>7.44</v>
      </c>
      <c r="BI57" s="179">
        <v>3.65</v>
      </c>
      <c r="BJ57" s="179">
        <v>2.04</v>
      </c>
      <c r="BK57" s="179">
        <v>1.56</v>
      </c>
      <c r="BL57" s="320">
        <v>0.99</v>
      </c>
      <c r="BM57" s="318">
        <v>0.108</v>
      </c>
      <c r="BN57" s="319">
        <v>0.193</v>
      </c>
      <c r="BO57" s="179">
        <v>2.78</v>
      </c>
      <c r="BP57" s="179">
        <v>0.63</v>
      </c>
      <c r="BQ57" s="179">
        <v>1</v>
      </c>
      <c r="BR57" s="179">
        <v>0.9115641278420724</v>
      </c>
      <c r="BS57" s="320">
        <v>0</v>
      </c>
    </row>
    <row r="58" spans="1:71" ht="12.75">
      <c r="A58" s="19"/>
      <c r="B58" s="299"/>
      <c r="C58" s="14"/>
      <c r="D58" s="298" t="str">
        <f>$Z$27</f>
        <v>(Ω = 2.0, Constant for web crippling - AISC page 9-18)</v>
      </c>
      <c r="E58" s="14"/>
      <c r="F58" s="14"/>
      <c r="G58" s="14"/>
      <c r="H58" s="39"/>
      <c r="I58" s="39"/>
      <c r="J58" s="15"/>
      <c r="T58" s="24"/>
      <c r="U58" s="29"/>
      <c r="V58" s="24"/>
      <c r="W58" s="48"/>
      <c r="X58" s="6"/>
      <c r="Y58" s="96"/>
      <c r="Z58" s="86"/>
      <c r="AA58" s="32"/>
      <c r="AB58" s="32"/>
      <c r="AC58" s="32"/>
      <c r="AD58" s="32"/>
      <c r="AE58" s="32"/>
      <c r="AF58" s="135"/>
      <c r="AG58" s="135"/>
      <c r="AH58" s="135"/>
      <c r="AI58" s="327" t="s">
        <v>408</v>
      </c>
      <c r="AJ58" s="328">
        <v>34.8</v>
      </c>
      <c r="AK58" s="329">
        <v>0.96</v>
      </c>
      <c r="AL58" s="328">
        <v>15.9</v>
      </c>
      <c r="AM58" s="330">
        <v>1.73</v>
      </c>
      <c r="AN58" s="330">
        <v>2.52</v>
      </c>
      <c r="AO58" s="331">
        <v>1020</v>
      </c>
      <c r="AP58" s="331">
        <v>1160</v>
      </c>
      <c r="AQ58" s="13">
        <v>54</v>
      </c>
      <c r="AR58" s="318" t="s">
        <v>179</v>
      </c>
      <c r="AS58" s="319">
        <v>19.8</v>
      </c>
      <c r="AT58" s="179">
        <v>5.82</v>
      </c>
      <c r="AU58" s="179">
        <v>5</v>
      </c>
      <c r="AV58" s="179">
        <v>3.5</v>
      </c>
      <c r="AW58" s="179">
        <v>0.75</v>
      </c>
      <c r="AX58" s="320">
        <v>1.1875</v>
      </c>
      <c r="AY58" s="318">
        <v>1.1875</v>
      </c>
      <c r="AZ58" s="319">
        <v>0.993</v>
      </c>
      <c r="BA58" s="179">
        <v>1.74</v>
      </c>
      <c r="BB58" s="179">
        <v>0.582</v>
      </c>
      <c r="BC58" s="179">
        <v>1.12</v>
      </c>
      <c r="BD58" s="179">
        <v>13.9</v>
      </c>
      <c r="BE58" s="320">
        <v>7.6</v>
      </c>
      <c r="BF58" s="318">
        <v>4.26</v>
      </c>
      <c r="BG58" s="319">
        <v>1.55</v>
      </c>
      <c r="BH58" s="179">
        <v>5.52</v>
      </c>
      <c r="BI58" s="179">
        <v>4.07</v>
      </c>
      <c r="BJ58" s="179">
        <v>2.2</v>
      </c>
      <c r="BK58" s="179">
        <v>0.974</v>
      </c>
      <c r="BL58" s="320">
        <v>0.744</v>
      </c>
      <c r="BM58" s="318">
        <v>1.09</v>
      </c>
      <c r="BN58" s="319">
        <v>1.52</v>
      </c>
      <c r="BO58" s="179">
        <v>2.36</v>
      </c>
      <c r="BP58" s="179">
        <v>0</v>
      </c>
      <c r="BQ58" s="179">
        <v>0.464</v>
      </c>
      <c r="BR58" s="179">
        <v>1</v>
      </c>
      <c r="BS58" s="320">
        <v>2.4</v>
      </c>
    </row>
    <row r="59" spans="1:71" ht="12.75">
      <c r="A59" s="253" t="s">
        <v>772</v>
      </c>
      <c r="B59" s="132">
        <f>$X$28</f>
        <v>2.7199837166213183</v>
      </c>
      <c r="C59" s="101" t="s">
        <v>44</v>
      </c>
      <c r="D59" s="43" t="str">
        <f>$Z$28</f>
        <v>R4/Ω = { 0.40*tw^2*(3/d)*(tw/tf)^1.5*sqrt(E*Fy*tf / tw) } / Ω</v>
      </c>
      <c r="E59" s="43"/>
      <c r="F59" s="51"/>
      <c r="G59" s="9"/>
      <c r="H59" s="43"/>
      <c r="I59" s="43"/>
      <c r="J59" s="15"/>
      <c r="T59" s="24"/>
      <c r="U59" s="29"/>
      <c r="V59" s="24"/>
      <c r="W59" s="48"/>
      <c r="X59" s="6"/>
      <c r="Y59" s="97"/>
      <c r="Z59" s="86"/>
      <c r="AA59" s="32"/>
      <c r="AB59" s="32"/>
      <c r="AC59" s="32"/>
      <c r="AD59" s="32"/>
      <c r="AE59" s="32"/>
      <c r="AF59" s="135"/>
      <c r="AG59" s="135"/>
      <c r="AH59" s="135"/>
      <c r="AI59" s="327" t="s">
        <v>409</v>
      </c>
      <c r="AJ59" s="328">
        <v>34.5</v>
      </c>
      <c r="AK59" s="329">
        <v>0.87</v>
      </c>
      <c r="AL59" s="328">
        <v>15.8</v>
      </c>
      <c r="AM59" s="330">
        <v>1.57</v>
      </c>
      <c r="AN59" s="330">
        <v>2.36</v>
      </c>
      <c r="AO59" s="331">
        <v>919</v>
      </c>
      <c r="AP59" s="331">
        <v>1040</v>
      </c>
      <c r="AQ59" s="13">
        <v>55</v>
      </c>
      <c r="AR59" s="318" t="s">
        <v>180</v>
      </c>
      <c r="AS59" s="319">
        <v>16.8</v>
      </c>
      <c r="AT59" s="179">
        <v>4.93</v>
      </c>
      <c r="AU59" s="179">
        <v>5</v>
      </c>
      <c r="AV59" s="179">
        <v>3.5</v>
      </c>
      <c r="AW59" s="179">
        <v>0.625</v>
      </c>
      <c r="AX59" s="320">
        <v>1.0625</v>
      </c>
      <c r="AY59" s="318">
        <v>1.0625</v>
      </c>
      <c r="AZ59" s="319">
        <v>0.947</v>
      </c>
      <c r="BA59" s="179">
        <v>1.69</v>
      </c>
      <c r="BB59" s="179">
        <v>0.493</v>
      </c>
      <c r="BC59" s="179">
        <v>1.06</v>
      </c>
      <c r="BD59" s="179">
        <v>12</v>
      </c>
      <c r="BE59" s="320">
        <v>6.5</v>
      </c>
      <c r="BF59" s="318">
        <v>3.63</v>
      </c>
      <c r="BG59" s="319">
        <v>1.56</v>
      </c>
      <c r="BH59" s="179">
        <v>4.8</v>
      </c>
      <c r="BI59" s="179">
        <v>3.43</v>
      </c>
      <c r="BJ59" s="179">
        <v>1.88</v>
      </c>
      <c r="BK59" s="179">
        <v>0.987</v>
      </c>
      <c r="BL59" s="320">
        <v>0.746</v>
      </c>
      <c r="BM59" s="318">
        <v>0.651</v>
      </c>
      <c r="BN59" s="319">
        <v>0.918</v>
      </c>
      <c r="BO59" s="179">
        <v>2.39</v>
      </c>
      <c r="BP59" s="179">
        <v>0</v>
      </c>
      <c r="BQ59" s="179">
        <v>0.47200000000000003</v>
      </c>
      <c r="BR59" s="179">
        <v>1</v>
      </c>
      <c r="BS59" s="320">
        <v>2.4</v>
      </c>
    </row>
    <row r="60" spans="1:71" ht="12.75">
      <c r="A60" s="19"/>
      <c r="B60" s="299"/>
      <c r="C60" s="14"/>
      <c r="D60" s="298" t="str">
        <f>$Z$29</f>
        <v>(Ω = 2.0, Constant for web crippling - AISC page 9-18)</v>
      </c>
      <c r="E60" s="14"/>
      <c r="F60" s="14"/>
      <c r="G60" s="14"/>
      <c r="H60" s="14"/>
      <c r="I60" s="14"/>
      <c r="J60" s="15"/>
      <c r="T60" s="24"/>
      <c r="U60" s="29"/>
      <c r="V60" s="24"/>
      <c r="W60" s="87"/>
      <c r="X60" s="123"/>
      <c r="Y60" s="79"/>
      <c r="Z60" s="79"/>
      <c r="AA60" s="32"/>
      <c r="AB60" s="32"/>
      <c r="AC60" s="32"/>
      <c r="AD60" s="32"/>
      <c r="AE60" s="32"/>
      <c r="AF60" s="135"/>
      <c r="AG60" s="135"/>
      <c r="AH60" s="135"/>
      <c r="AI60" s="327" t="s">
        <v>410</v>
      </c>
      <c r="AJ60" s="328">
        <v>34.2</v>
      </c>
      <c r="AK60" s="329">
        <v>0.83</v>
      </c>
      <c r="AL60" s="328">
        <v>15.9</v>
      </c>
      <c r="AM60" s="330">
        <v>1.4</v>
      </c>
      <c r="AN60" s="330">
        <v>2.19</v>
      </c>
      <c r="AO60" s="331">
        <v>831</v>
      </c>
      <c r="AP60" s="331">
        <v>940</v>
      </c>
      <c r="AQ60" s="13">
        <v>56</v>
      </c>
      <c r="AR60" s="318" t="s">
        <v>181</v>
      </c>
      <c r="AS60" s="319">
        <v>13.6</v>
      </c>
      <c r="AT60" s="179">
        <v>4</v>
      </c>
      <c r="AU60" s="179">
        <v>5</v>
      </c>
      <c r="AV60" s="179">
        <v>3.5</v>
      </c>
      <c r="AW60" s="179">
        <v>0.5</v>
      </c>
      <c r="AX60" s="320">
        <v>0.9375</v>
      </c>
      <c r="AY60" s="318">
        <v>0.9375</v>
      </c>
      <c r="AZ60" s="319">
        <v>0.901</v>
      </c>
      <c r="BA60" s="179">
        <v>1.65</v>
      </c>
      <c r="BB60" s="179">
        <v>0.4</v>
      </c>
      <c r="BC60" s="179">
        <v>0.997</v>
      </c>
      <c r="BD60" s="179">
        <v>9.96</v>
      </c>
      <c r="BE60" s="320">
        <v>5.33</v>
      </c>
      <c r="BF60" s="318">
        <v>2.97</v>
      </c>
      <c r="BG60" s="319">
        <v>1.58</v>
      </c>
      <c r="BH60" s="179">
        <v>4.02</v>
      </c>
      <c r="BI60" s="179">
        <v>2.79</v>
      </c>
      <c r="BJ60" s="179">
        <v>1.55</v>
      </c>
      <c r="BK60" s="179">
        <v>1</v>
      </c>
      <c r="BL60" s="320">
        <v>0.75</v>
      </c>
      <c r="BM60" s="318">
        <v>0.343</v>
      </c>
      <c r="BN60" s="319">
        <v>0.491</v>
      </c>
      <c r="BO60" s="179">
        <v>2.42</v>
      </c>
      <c r="BP60" s="179">
        <v>0</v>
      </c>
      <c r="BQ60" s="179">
        <v>0.47900000000000004</v>
      </c>
      <c r="BR60" s="179">
        <v>1</v>
      </c>
      <c r="BS60" s="320">
        <v>2.4</v>
      </c>
    </row>
    <row r="61" spans="1:71" ht="12.75">
      <c r="A61" s="253" t="s">
        <v>774</v>
      </c>
      <c r="B61" s="132">
        <f>$X$30</f>
        <v>15.13997021942053</v>
      </c>
      <c r="C61" s="101" t="s">
        <v>9</v>
      </c>
      <c r="D61" s="43" t="str">
        <f>$Z$30</f>
        <v>R5/Ω = { 0.40*tw^2*(1-0.2*(tw/tf)^1.5)*sqrt(E*Fy*tf / tw) } / Ω</v>
      </c>
      <c r="E61" s="14"/>
      <c r="F61" s="14"/>
      <c r="G61" s="14"/>
      <c r="H61" s="43"/>
      <c r="I61" s="43"/>
      <c r="J61" s="15"/>
      <c r="T61" s="24"/>
      <c r="U61" s="29"/>
      <c r="V61" s="24"/>
      <c r="W61" s="48"/>
      <c r="X61" s="6"/>
      <c r="Y61" s="98"/>
      <c r="Z61" s="86"/>
      <c r="AA61" s="32"/>
      <c r="AB61" s="32"/>
      <c r="AC61" s="32"/>
      <c r="AD61" s="32"/>
      <c r="AE61" s="32"/>
      <c r="AF61" s="135"/>
      <c r="AG61" s="135"/>
      <c r="AH61" s="135"/>
      <c r="AI61" s="327" t="s">
        <v>411</v>
      </c>
      <c r="AJ61" s="328">
        <v>33.9</v>
      </c>
      <c r="AK61" s="329">
        <v>0.775</v>
      </c>
      <c r="AL61" s="328">
        <v>15.8</v>
      </c>
      <c r="AM61" s="330">
        <v>1.28</v>
      </c>
      <c r="AN61" s="330">
        <v>2.06</v>
      </c>
      <c r="AO61" s="331">
        <v>759</v>
      </c>
      <c r="AP61" s="331">
        <v>857</v>
      </c>
      <c r="AQ61" s="13">
        <v>57</v>
      </c>
      <c r="AR61" s="318" t="s">
        <v>182</v>
      </c>
      <c r="AS61" s="319">
        <v>10.4</v>
      </c>
      <c r="AT61" s="179">
        <v>3.05</v>
      </c>
      <c r="AU61" s="179">
        <v>5</v>
      </c>
      <c r="AV61" s="179">
        <v>3.5</v>
      </c>
      <c r="AW61" s="179">
        <v>0.375</v>
      </c>
      <c r="AX61" s="320">
        <v>0.8125</v>
      </c>
      <c r="AY61" s="318">
        <v>0.8125</v>
      </c>
      <c r="AZ61" s="319">
        <v>0.854</v>
      </c>
      <c r="BA61" s="179">
        <v>1.6</v>
      </c>
      <c r="BB61" s="179">
        <v>0.305</v>
      </c>
      <c r="BC61" s="179">
        <v>0.933</v>
      </c>
      <c r="BD61" s="179">
        <v>7.75</v>
      </c>
      <c r="BE61" s="320">
        <v>4.09</v>
      </c>
      <c r="BF61" s="318">
        <v>2.28</v>
      </c>
      <c r="BG61" s="319">
        <v>1.59</v>
      </c>
      <c r="BH61" s="179">
        <v>3.15</v>
      </c>
      <c r="BI61" s="179">
        <v>2.12</v>
      </c>
      <c r="BJ61" s="179">
        <v>1.19</v>
      </c>
      <c r="BK61" s="179">
        <v>1.02</v>
      </c>
      <c r="BL61" s="320">
        <v>0.755</v>
      </c>
      <c r="BM61" s="318">
        <v>0.15</v>
      </c>
      <c r="BN61" s="319">
        <v>0.217</v>
      </c>
      <c r="BO61" s="179">
        <v>2.45</v>
      </c>
      <c r="BP61" s="179">
        <v>0</v>
      </c>
      <c r="BQ61" s="179">
        <v>0.486</v>
      </c>
      <c r="BR61" s="179">
        <v>0.9829701065350602</v>
      </c>
      <c r="BS61" s="320">
        <v>2.4</v>
      </c>
    </row>
    <row r="62" spans="1:71" ht="12.75">
      <c r="A62" s="19"/>
      <c r="B62" s="299"/>
      <c r="C62" s="14"/>
      <c r="D62" s="298" t="str">
        <f>$Z$31</f>
        <v>(Ω = 2.0, Constant for web crippling - AISC page 9-18)</v>
      </c>
      <c r="E62" s="14"/>
      <c r="F62" s="14"/>
      <c r="G62" s="14"/>
      <c r="H62" s="14"/>
      <c r="I62" s="14"/>
      <c r="J62" s="15"/>
      <c r="S62" s="14"/>
      <c r="T62" s="32"/>
      <c r="U62" s="88"/>
      <c r="V62" s="24"/>
      <c r="W62" s="90"/>
      <c r="X62" s="6"/>
      <c r="Y62" s="79"/>
      <c r="Z62" s="78"/>
      <c r="AA62" s="41"/>
      <c r="AB62" s="32"/>
      <c r="AC62" s="32"/>
      <c r="AD62" s="32"/>
      <c r="AE62" s="32"/>
      <c r="AF62" s="135"/>
      <c r="AG62" s="135"/>
      <c r="AH62" s="135"/>
      <c r="AI62" s="327" t="s">
        <v>412</v>
      </c>
      <c r="AJ62" s="328">
        <v>33.7</v>
      </c>
      <c r="AK62" s="329">
        <v>0.715</v>
      </c>
      <c r="AL62" s="328">
        <v>15.7</v>
      </c>
      <c r="AM62" s="330">
        <v>1.15</v>
      </c>
      <c r="AN62" s="330">
        <v>1.94</v>
      </c>
      <c r="AO62" s="331">
        <v>686</v>
      </c>
      <c r="AP62" s="331">
        <v>773</v>
      </c>
      <c r="AQ62" s="13">
        <v>58</v>
      </c>
      <c r="AR62" s="318" t="s">
        <v>183</v>
      </c>
      <c r="AS62" s="319">
        <v>8.72</v>
      </c>
      <c r="AT62" s="179">
        <v>2.56</v>
      </c>
      <c r="AU62" s="179">
        <v>5</v>
      </c>
      <c r="AV62" s="179">
        <v>3.5</v>
      </c>
      <c r="AW62" s="179">
        <v>0.3125</v>
      </c>
      <c r="AX62" s="320">
        <v>0.75</v>
      </c>
      <c r="AY62" s="318">
        <v>0.75</v>
      </c>
      <c r="AZ62" s="319">
        <v>0.829</v>
      </c>
      <c r="BA62" s="179">
        <v>1.57</v>
      </c>
      <c r="BB62" s="179">
        <v>0.256</v>
      </c>
      <c r="BC62" s="179">
        <v>0.901</v>
      </c>
      <c r="BD62" s="179">
        <v>6.58</v>
      </c>
      <c r="BE62" s="320">
        <v>3.45</v>
      </c>
      <c r="BF62" s="318">
        <v>1.92</v>
      </c>
      <c r="BG62" s="319">
        <v>1.6</v>
      </c>
      <c r="BH62" s="179">
        <v>2.69</v>
      </c>
      <c r="BI62" s="179">
        <v>1.77</v>
      </c>
      <c r="BJ62" s="179">
        <v>1.01</v>
      </c>
      <c r="BK62" s="179">
        <v>1.02</v>
      </c>
      <c r="BL62" s="320">
        <v>0.758</v>
      </c>
      <c r="BM62" s="318">
        <v>0.0883</v>
      </c>
      <c r="BN62" s="319">
        <v>0.128</v>
      </c>
      <c r="BO62" s="179">
        <v>2.46</v>
      </c>
      <c r="BP62" s="179">
        <v>0</v>
      </c>
      <c r="BQ62" s="179">
        <v>0.489</v>
      </c>
      <c r="BR62" s="179">
        <v>0.9115641278420724</v>
      </c>
      <c r="BS62" s="320">
        <v>2.4</v>
      </c>
    </row>
    <row r="63" spans="1:71" ht="12.75">
      <c r="A63" s="253" t="s">
        <v>776</v>
      </c>
      <c r="B63" s="132">
        <f>$X$32</f>
        <v>3.6266449554950912</v>
      </c>
      <c r="C63" s="101" t="s">
        <v>44</v>
      </c>
      <c r="D63" s="43" t="str">
        <f>$Z$32</f>
        <v>R6/Ω = { 0.40*tw^2*(4/d)*(tw/tf)^1.5*sqrt(E*Fy*tf / tw) } / Ω</v>
      </c>
      <c r="E63" s="14"/>
      <c r="F63" s="14"/>
      <c r="G63" s="14"/>
      <c r="H63" s="14"/>
      <c r="I63" s="14"/>
      <c r="J63" s="15"/>
      <c r="S63" s="14"/>
      <c r="T63" s="32"/>
      <c r="U63" s="88"/>
      <c r="V63" s="24"/>
      <c r="W63" s="90"/>
      <c r="X63" s="6"/>
      <c r="Y63" s="79"/>
      <c r="Z63" s="78"/>
      <c r="AA63" s="41"/>
      <c r="AB63" s="32"/>
      <c r="AC63" s="32"/>
      <c r="AD63" s="32"/>
      <c r="AE63" s="32"/>
      <c r="AF63" s="135"/>
      <c r="AG63" s="135"/>
      <c r="AH63" s="135"/>
      <c r="AI63" s="327" t="s">
        <v>413</v>
      </c>
      <c r="AJ63" s="328">
        <v>33.8</v>
      </c>
      <c r="AK63" s="329">
        <v>0.67</v>
      </c>
      <c r="AL63" s="328">
        <v>11.5</v>
      </c>
      <c r="AM63" s="330">
        <v>1.22</v>
      </c>
      <c r="AN63" s="330">
        <v>1.92</v>
      </c>
      <c r="AO63" s="331">
        <v>549</v>
      </c>
      <c r="AP63" s="331">
        <v>629</v>
      </c>
      <c r="AQ63" s="13">
        <v>59</v>
      </c>
      <c r="AR63" s="318" t="s">
        <v>184</v>
      </c>
      <c r="AS63" s="319">
        <v>7.03</v>
      </c>
      <c r="AT63" s="179">
        <v>2.07</v>
      </c>
      <c r="AU63" s="179">
        <v>5</v>
      </c>
      <c r="AV63" s="179">
        <v>3.5</v>
      </c>
      <c r="AW63" s="179">
        <v>0.25</v>
      </c>
      <c r="AX63" s="320">
        <v>0.6875</v>
      </c>
      <c r="AY63" s="318">
        <v>0.6875</v>
      </c>
      <c r="AZ63" s="319">
        <v>0.804</v>
      </c>
      <c r="BA63" s="179">
        <v>1.55</v>
      </c>
      <c r="BB63" s="179">
        <v>0.207</v>
      </c>
      <c r="BC63" s="179">
        <v>0.868</v>
      </c>
      <c r="BD63" s="179">
        <v>5.36</v>
      </c>
      <c r="BE63" s="320">
        <v>2.78</v>
      </c>
      <c r="BF63" s="318">
        <v>1.55</v>
      </c>
      <c r="BG63" s="319">
        <v>1.61</v>
      </c>
      <c r="BH63" s="179">
        <v>2.2</v>
      </c>
      <c r="BI63" s="179">
        <v>1.42</v>
      </c>
      <c r="BJ63" s="179">
        <v>0.816</v>
      </c>
      <c r="BK63" s="179">
        <v>1.03</v>
      </c>
      <c r="BL63" s="320">
        <v>0.761</v>
      </c>
      <c r="BM63" s="318">
        <v>0.0464</v>
      </c>
      <c r="BN63" s="319">
        <v>0.067</v>
      </c>
      <c r="BO63" s="179">
        <v>2.48</v>
      </c>
      <c r="BP63" s="179">
        <v>0</v>
      </c>
      <c r="BQ63" s="179">
        <v>0.491</v>
      </c>
      <c r="BR63" s="179">
        <v>0.8044551598025905</v>
      </c>
      <c r="BS63" s="320">
        <v>2.4</v>
      </c>
    </row>
    <row r="64" spans="1:71" ht="12.75">
      <c r="A64" s="19"/>
      <c r="B64" s="299"/>
      <c r="C64" s="14"/>
      <c r="D64" s="298" t="str">
        <f>$Z$33</f>
        <v>(Ω = 2.0, Constant for web crippling - AISC page 9-18)</v>
      </c>
      <c r="E64" s="14"/>
      <c r="F64" s="14"/>
      <c r="G64" s="14"/>
      <c r="H64" s="14"/>
      <c r="I64" s="44"/>
      <c r="J64" s="15"/>
      <c r="S64" s="14"/>
      <c r="T64" s="32"/>
      <c r="U64" s="88"/>
      <c r="V64" s="24"/>
      <c r="W64" s="87"/>
      <c r="X64" s="3"/>
      <c r="Y64" s="41"/>
      <c r="Z64" s="79"/>
      <c r="AA64" s="32"/>
      <c r="AB64" s="32"/>
      <c r="AC64" s="32"/>
      <c r="AD64" s="32"/>
      <c r="AE64" s="32"/>
      <c r="AF64" s="135"/>
      <c r="AG64" s="135"/>
      <c r="AH64" s="135"/>
      <c r="AI64" s="327" t="s">
        <v>414</v>
      </c>
      <c r="AJ64" s="328">
        <v>33.5</v>
      </c>
      <c r="AK64" s="329">
        <v>0.635</v>
      </c>
      <c r="AL64" s="328">
        <v>11.6</v>
      </c>
      <c r="AM64" s="330">
        <v>1.06</v>
      </c>
      <c r="AN64" s="330">
        <v>1.76</v>
      </c>
      <c r="AO64" s="331">
        <v>487</v>
      </c>
      <c r="AP64" s="331">
        <v>559</v>
      </c>
      <c r="AQ64" s="13">
        <v>60</v>
      </c>
      <c r="AR64" s="318" t="s">
        <v>185</v>
      </c>
      <c r="AS64" s="319">
        <v>12.8</v>
      </c>
      <c r="AT64" s="179">
        <v>3.75</v>
      </c>
      <c r="AU64" s="179">
        <v>5</v>
      </c>
      <c r="AV64" s="179">
        <v>3</v>
      </c>
      <c r="AW64" s="179">
        <v>0.5</v>
      </c>
      <c r="AX64" s="320">
        <v>0.9375</v>
      </c>
      <c r="AY64" s="318">
        <v>0.9375</v>
      </c>
      <c r="AZ64" s="319">
        <v>0.746</v>
      </c>
      <c r="BA64" s="179">
        <v>1.74</v>
      </c>
      <c r="BB64" s="179">
        <v>0.375</v>
      </c>
      <c r="BC64" s="179">
        <v>1.25</v>
      </c>
      <c r="BD64" s="179">
        <v>9.43</v>
      </c>
      <c r="BE64" s="320">
        <v>5.12</v>
      </c>
      <c r="BF64" s="318">
        <v>2.89</v>
      </c>
      <c r="BG64" s="319">
        <v>1.58</v>
      </c>
      <c r="BH64" s="179">
        <v>2.55</v>
      </c>
      <c r="BI64" s="179">
        <v>2.08</v>
      </c>
      <c r="BJ64" s="179">
        <v>1.13</v>
      </c>
      <c r="BK64" s="179">
        <v>0.824</v>
      </c>
      <c r="BL64" s="320">
        <v>0.642</v>
      </c>
      <c r="BM64" s="318">
        <v>0.322</v>
      </c>
      <c r="BN64" s="319">
        <v>0.444</v>
      </c>
      <c r="BO64" s="179">
        <v>2.38</v>
      </c>
      <c r="BP64" s="179">
        <v>0</v>
      </c>
      <c r="BQ64" s="179">
        <v>0.357</v>
      </c>
      <c r="BR64" s="179">
        <v>1</v>
      </c>
      <c r="BS64" s="320">
        <v>2.99</v>
      </c>
    </row>
    <row r="65" spans="1:71" ht="12.75">
      <c r="A65" s="54" t="s">
        <v>8</v>
      </c>
      <c r="B65" s="132">
        <f>$X$34</f>
        <v>35.2</v>
      </c>
      <c r="C65" s="101" t="s">
        <v>9</v>
      </c>
      <c r="D65" s="215" t="str">
        <f>$Z$34</f>
        <v>Rwy = R1/Ω+N*R2/Ω  (based on web yielding per AISC Eqn. J10-3, p. 16.1-117)</v>
      </c>
      <c r="E65" s="43"/>
      <c r="F65" s="14"/>
      <c r="G65" s="39"/>
      <c r="H65" s="14"/>
      <c r="I65" s="53"/>
      <c r="J65" s="15"/>
      <c r="S65" s="14"/>
      <c r="T65" s="32"/>
      <c r="U65" s="88"/>
      <c r="V65" s="24"/>
      <c r="W65" s="25"/>
      <c r="X65" s="32"/>
      <c r="Y65" s="88"/>
      <c r="Z65" s="32"/>
      <c r="AA65" s="22"/>
      <c r="AB65" s="32"/>
      <c r="AC65" s="32"/>
      <c r="AD65" s="32"/>
      <c r="AE65" s="32"/>
      <c r="AF65" s="135"/>
      <c r="AG65" s="135"/>
      <c r="AH65" s="135"/>
      <c r="AI65" s="327" t="s">
        <v>415</v>
      </c>
      <c r="AJ65" s="328">
        <v>33.3</v>
      </c>
      <c r="AK65" s="329">
        <v>0.605</v>
      </c>
      <c r="AL65" s="328">
        <v>11.5</v>
      </c>
      <c r="AM65" s="329">
        <v>0.96</v>
      </c>
      <c r="AN65" s="330">
        <v>1.66</v>
      </c>
      <c r="AO65" s="331">
        <v>448</v>
      </c>
      <c r="AP65" s="331">
        <v>514</v>
      </c>
      <c r="AQ65" s="13">
        <v>61</v>
      </c>
      <c r="AR65" s="318" t="s">
        <v>186</v>
      </c>
      <c r="AS65" s="319">
        <v>11.3</v>
      </c>
      <c r="AT65" s="179">
        <v>3.31</v>
      </c>
      <c r="AU65" s="179">
        <v>5</v>
      </c>
      <c r="AV65" s="179">
        <v>3</v>
      </c>
      <c r="AW65" s="179">
        <v>0.4375</v>
      </c>
      <c r="AX65" s="320">
        <v>0.875</v>
      </c>
      <c r="AY65" s="318">
        <v>0.875</v>
      </c>
      <c r="AZ65" s="319">
        <v>0.722</v>
      </c>
      <c r="BA65" s="179">
        <v>1.72</v>
      </c>
      <c r="BB65" s="179">
        <v>0.331</v>
      </c>
      <c r="BC65" s="179">
        <v>1.21</v>
      </c>
      <c r="BD65" s="179">
        <v>8.41</v>
      </c>
      <c r="BE65" s="320">
        <v>4.53</v>
      </c>
      <c r="BF65" s="318">
        <v>2.56</v>
      </c>
      <c r="BG65" s="319">
        <v>1.59</v>
      </c>
      <c r="BH65" s="179">
        <v>2.29</v>
      </c>
      <c r="BI65" s="179">
        <v>1.82</v>
      </c>
      <c r="BJ65" s="179">
        <v>1</v>
      </c>
      <c r="BK65" s="179">
        <v>0.831</v>
      </c>
      <c r="BL65" s="320">
        <v>0.644</v>
      </c>
      <c r="BM65" s="318">
        <v>0.22</v>
      </c>
      <c r="BN65" s="319">
        <v>0.304</v>
      </c>
      <c r="BO65" s="179">
        <v>2.4</v>
      </c>
      <c r="BP65" s="179">
        <v>0</v>
      </c>
      <c r="BQ65" s="179">
        <v>0.361</v>
      </c>
      <c r="BR65" s="179">
        <v>1</v>
      </c>
      <c r="BS65" s="320">
        <v>2.99</v>
      </c>
    </row>
    <row r="66" spans="1:71" ht="12.75">
      <c r="A66" s="54" t="s">
        <v>779</v>
      </c>
      <c r="B66" s="132">
        <f>$X$35</f>
        <v>0.26960784313725494</v>
      </c>
      <c r="C66" s="14"/>
      <c r="D66" s="43" t="str">
        <f>$Z$35</f>
        <v>N/d = Criteria for using either Eqn. J10-5a or J10-5b</v>
      </c>
      <c r="E66" s="14"/>
      <c r="F66" s="14"/>
      <c r="G66" s="39"/>
      <c r="H66" s="14"/>
      <c r="I66" s="53"/>
      <c r="J66" s="15"/>
      <c r="S66" s="14"/>
      <c r="T66" s="32"/>
      <c r="U66" s="88"/>
      <c r="V66" s="24"/>
      <c r="W66" s="41"/>
      <c r="X66" s="23"/>
      <c r="Y66" s="41"/>
      <c r="Z66" s="22"/>
      <c r="AA66" s="22"/>
      <c r="AB66" s="32"/>
      <c r="AC66" s="32"/>
      <c r="AD66" s="32"/>
      <c r="AE66" s="32"/>
      <c r="AF66" s="135"/>
      <c r="AG66" s="135"/>
      <c r="AH66" s="135"/>
      <c r="AI66" s="327" t="s">
        <v>416</v>
      </c>
      <c r="AJ66" s="328">
        <v>33.1</v>
      </c>
      <c r="AK66" s="329">
        <v>0.58</v>
      </c>
      <c r="AL66" s="328">
        <v>11.5</v>
      </c>
      <c r="AM66" s="329">
        <v>0.855</v>
      </c>
      <c r="AN66" s="330">
        <v>1.56</v>
      </c>
      <c r="AO66" s="331">
        <v>406</v>
      </c>
      <c r="AP66" s="331">
        <v>467</v>
      </c>
      <c r="AQ66" s="13">
        <v>62</v>
      </c>
      <c r="AR66" s="318" t="s">
        <v>187</v>
      </c>
      <c r="AS66" s="319">
        <v>9.74</v>
      </c>
      <c r="AT66" s="179">
        <v>2.86</v>
      </c>
      <c r="AU66" s="179">
        <v>5</v>
      </c>
      <c r="AV66" s="179">
        <v>3</v>
      </c>
      <c r="AW66" s="179">
        <v>0.375</v>
      </c>
      <c r="AX66" s="320">
        <v>0.8125</v>
      </c>
      <c r="AY66" s="318">
        <v>0.8125</v>
      </c>
      <c r="AZ66" s="319">
        <v>0.698</v>
      </c>
      <c r="BA66" s="179">
        <v>1.69</v>
      </c>
      <c r="BB66" s="179">
        <v>0.286</v>
      </c>
      <c r="BC66" s="179">
        <v>1.18</v>
      </c>
      <c r="BD66" s="179">
        <v>7.35</v>
      </c>
      <c r="BE66" s="320">
        <v>3.93</v>
      </c>
      <c r="BF66" s="318">
        <v>2.22</v>
      </c>
      <c r="BG66" s="319">
        <v>1.6</v>
      </c>
      <c r="BH66" s="179">
        <v>2.01</v>
      </c>
      <c r="BI66" s="179">
        <v>1.57</v>
      </c>
      <c r="BJ66" s="179">
        <v>0.874</v>
      </c>
      <c r="BK66" s="179">
        <v>0.838</v>
      </c>
      <c r="BL66" s="320">
        <v>0.646</v>
      </c>
      <c r="BM66" s="318">
        <v>0.141</v>
      </c>
      <c r="BN66" s="319">
        <v>0.196</v>
      </c>
      <c r="BO66" s="179">
        <v>2.41</v>
      </c>
      <c r="BP66" s="179">
        <v>0</v>
      </c>
      <c r="BQ66" s="179">
        <v>0.364</v>
      </c>
      <c r="BR66" s="179">
        <v>0.9829701065350602</v>
      </c>
      <c r="BS66" s="320">
        <v>2.99</v>
      </c>
    </row>
    <row r="67" spans="1:71" ht="12.75">
      <c r="A67" s="54" t="s">
        <v>48</v>
      </c>
      <c r="B67" s="132">
        <f>$X$36</f>
        <v>25.11324384703203</v>
      </c>
      <c r="C67" s="101" t="s">
        <v>9</v>
      </c>
      <c r="D67" s="215" t="str">
        <f>$Z$36</f>
        <v>Rwc = R5/Ω+N*R6/Ω  (based on web crip. per AISC Eqn. J10-5b, p. 16.1-117)</v>
      </c>
      <c r="E67" s="39"/>
      <c r="F67" s="14"/>
      <c r="G67" s="39"/>
      <c r="H67" s="39"/>
      <c r="I67" s="39"/>
      <c r="J67" s="15"/>
      <c r="K67" s="47"/>
      <c r="L67" s="4"/>
      <c r="M67" s="43"/>
      <c r="N67" s="43"/>
      <c r="O67" s="39"/>
      <c r="P67" s="39"/>
      <c r="Q67" s="39"/>
      <c r="R67" s="39"/>
      <c r="S67" s="39"/>
      <c r="T67" s="32"/>
      <c r="U67" s="88"/>
      <c r="V67" s="24"/>
      <c r="W67" s="48"/>
      <c r="X67" s="3"/>
      <c r="Y67" s="41"/>
      <c r="Z67" s="41"/>
      <c r="AA67" s="22"/>
      <c r="AB67" s="32"/>
      <c r="AC67" s="32"/>
      <c r="AD67" s="32"/>
      <c r="AE67" s="32"/>
      <c r="AF67" s="135"/>
      <c r="AG67" s="135"/>
      <c r="AH67" s="135"/>
      <c r="AI67" s="327" t="s">
        <v>417</v>
      </c>
      <c r="AJ67" s="328">
        <v>32.9</v>
      </c>
      <c r="AK67" s="329">
        <v>0.55</v>
      </c>
      <c r="AL67" s="328">
        <v>11.5</v>
      </c>
      <c r="AM67" s="329">
        <v>0.74</v>
      </c>
      <c r="AN67" s="330">
        <v>1.44</v>
      </c>
      <c r="AO67" s="331">
        <v>359</v>
      </c>
      <c r="AP67" s="331">
        <v>415</v>
      </c>
      <c r="AQ67" s="13">
        <v>63</v>
      </c>
      <c r="AR67" s="318" t="s">
        <v>188</v>
      </c>
      <c r="AS67" s="319">
        <v>8.19</v>
      </c>
      <c r="AT67" s="179">
        <v>2.41</v>
      </c>
      <c r="AU67" s="179">
        <v>5</v>
      </c>
      <c r="AV67" s="179">
        <v>3</v>
      </c>
      <c r="AW67" s="179">
        <v>0.3125</v>
      </c>
      <c r="AX67" s="320">
        <v>0.75</v>
      </c>
      <c r="AY67" s="318">
        <v>0.75</v>
      </c>
      <c r="AZ67" s="319">
        <v>0.673</v>
      </c>
      <c r="BA67" s="179">
        <v>1.67</v>
      </c>
      <c r="BB67" s="179">
        <v>0.241</v>
      </c>
      <c r="BC67" s="179">
        <v>1.15</v>
      </c>
      <c r="BD67" s="179">
        <v>6.24</v>
      </c>
      <c r="BE67" s="320">
        <v>3.32</v>
      </c>
      <c r="BF67" s="318">
        <v>1.87</v>
      </c>
      <c r="BG67" s="319">
        <v>1.61</v>
      </c>
      <c r="BH67" s="179">
        <v>1.72</v>
      </c>
      <c r="BI67" s="179">
        <v>1.31</v>
      </c>
      <c r="BJ67" s="179">
        <v>0.739</v>
      </c>
      <c r="BK67" s="179">
        <v>0.846</v>
      </c>
      <c r="BL67" s="320">
        <v>0.649</v>
      </c>
      <c r="BM67" s="318">
        <v>0.0832</v>
      </c>
      <c r="BN67" s="319">
        <v>0.116</v>
      </c>
      <c r="BO67" s="179">
        <v>2.42</v>
      </c>
      <c r="BP67" s="179">
        <v>0</v>
      </c>
      <c r="BQ67" s="179">
        <v>0.368</v>
      </c>
      <c r="BR67" s="179">
        <v>0.9115641278420724</v>
      </c>
      <c r="BS67" s="320">
        <v>2.99</v>
      </c>
    </row>
    <row r="68" spans="1:71" ht="12.75">
      <c r="A68" s="54" t="s">
        <v>35</v>
      </c>
      <c r="B68" s="133">
        <f>$X$37</f>
        <v>25.11324384703203</v>
      </c>
      <c r="C68" s="101" t="s">
        <v>9</v>
      </c>
      <c r="D68" s="43" t="str">
        <f>$Z$37</f>
        <v>R = Minimum of:  Rwy  or  Rwc</v>
      </c>
      <c r="E68" s="43"/>
      <c r="F68" s="39"/>
      <c r="G68" s="39"/>
      <c r="H68" s="39"/>
      <c r="I68" s="39"/>
      <c r="J68" s="15"/>
      <c r="K68" s="45"/>
      <c r="L68" s="39"/>
      <c r="M68" s="7"/>
      <c r="N68" s="39"/>
      <c r="O68" s="43"/>
      <c r="P68" s="44"/>
      <c r="Q68" s="44"/>
      <c r="R68" s="39"/>
      <c r="S68" s="39"/>
      <c r="T68" s="32"/>
      <c r="U68" s="88"/>
      <c r="V68" s="24"/>
      <c r="W68" s="48"/>
      <c r="X68" s="3"/>
      <c r="Y68" s="41"/>
      <c r="Z68" s="41"/>
      <c r="AA68" s="22"/>
      <c r="AB68" s="32"/>
      <c r="AC68" s="32"/>
      <c r="AD68" s="32"/>
      <c r="AE68" s="32"/>
      <c r="AF68" s="135"/>
      <c r="AG68" s="135"/>
      <c r="AH68" s="135"/>
      <c r="AI68" s="327" t="s">
        <v>418</v>
      </c>
      <c r="AJ68" s="328">
        <v>33.2</v>
      </c>
      <c r="AK68" s="330">
        <v>1.36</v>
      </c>
      <c r="AL68" s="328">
        <v>15.6</v>
      </c>
      <c r="AM68" s="330">
        <v>2.44</v>
      </c>
      <c r="AN68" s="330">
        <v>3.23</v>
      </c>
      <c r="AO68" s="331">
        <v>1250</v>
      </c>
      <c r="AP68" s="331">
        <v>1450</v>
      </c>
      <c r="AQ68" s="13">
        <v>64</v>
      </c>
      <c r="AR68" s="318" t="s">
        <v>189</v>
      </c>
      <c r="AS68" s="319">
        <v>6.6</v>
      </c>
      <c r="AT68" s="179">
        <v>1.94</v>
      </c>
      <c r="AU68" s="179">
        <v>5</v>
      </c>
      <c r="AV68" s="179">
        <v>3</v>
      </c>
      <c r="AW68" s="179">
        <v>0.25</v>
      </c>
      <c r="AX68" s="320">
        <v>0.6875</v>
      </c>
      <c r="AY68" s="318">
        <v>0.6875</v>
      </c>
      <c r="AZ68" s="319">
        <v>0.648</v>
      </c>
      <c r="BA68" s="179">
        <v>1.64</v>
      </c>
      <c r="BB68" s="179">
        <v>0.194</v>
      </c>
      <c r="BC68" s="179">
        <v>1.12</v>
      </c>
      <c r="BD68" s="179">
        <v>5.09</v>
      </c>
      <c r="BE68" s="320">
        <v>2.68</v>
      </c>
      <c r="BF68" s="318">
        <v>1.51</v>
      </c>
      <c r="BG68" s="319">
        <v>1.62</v>
      </c>
      <c r="BH68" s="179">
        <v>1.41</v>
      </c>
      <c r="BI68" s="179">
        <v>1.05</v>
      </c>
      <c r="BJ68" s="179">
        <v>0.6</v>
      </c>
      <c r="BK68" s="179">
        <v>0.853</v>
      </c>
      <c r="BL68" s="320">
        <v>0.652</v>
      </c>
      <c r="BM68" s="318">
        <v>0.0438</v>
      </c>
      <c r="BN68" s="319">
        <v>0.0606</v>
      </c>
      <c r="BO68" s="179">
        <v>2.43</v>
      </c>
      <c r="BP68" s="179">
        <v>0</v>
      </c>
      <c r="BQ68" s="179">
        <v>0.371</v>
      </c>
      <c r="BR68" s="179">
        <v>0.8044551598025905</v>
      </c>
      <c r="BS68" s="320">
        <v>2.99</v>
      </c>
    </row>
    <row r="69" spans="1:71" ht="12.75">
      <c r="A69" s="19"/>
      <c r="B69" s="14"/>
      <c r="C69" s="14"/>
      <c r="D69" s="14"/>
      <c r="E69" s="14"/>
      <c r="F69" s="14"/>
      <c r="G69" s="14"/>
      <c r="H69" s="14"/>
      <c r="I69" s="14"/>
      <c r="J69" s="15"/>
      <c r="K69" s="47"/>
      <c r="L69" s="3"/>
      <c r="M69" s="101"/>
      <c r="N69" s="39"/>
      <c r="O69" s="43"/>
      <c r="P69" s="44"/>
      <c r="Q69" s="44"/>
      <c r="R69" s="85"/>
      <c r="S69" s="39"/>
      <c r="T69" s="32"/>
      <c r="U69" s="32"/>
      <c r="V69" s="24"/>
      <c r="W69" s="41"/>
      <c r="X69" s="23"/>
      <c r="Y69" s="41"/>
      <c r="Z69" s="22"/>
      <c r="AA69" s="22"/>
      <c r="AB69" s="32"/>
      <c r="AC69" s="32"/>
      <c r="AD69" s="32"/>
      <c r="AE69" s="32"/>
      <c r="AF69" s="135"/>
      <c r="AG69" s="135"/>
      <c r="AH69" s="135"/>
      <c r="AI69" s="327" t="s">
        <v>419</v>
      </c>
      <c r="AJ69" s="328">
        <v>32.8</v>
      </c>
      <c r="AK69" s="330">
        <v>1.24</v>
      </c>
      <c r="AL69" s="328">
        <v>15.5</v>
      </c>
      <c r="AM69" s="330">
        <v>2.24</v>
      </c>
      <c r="AN69" s="330">
        <v>3.03</v>
      </c>
      <c r="AO69" s="331">
        <v>1140</v>
      </c>
      <c r="AP69" s="331">
        <v>1320</v>
      </c>
      <c r="AQ69" s="13">
        <v>65</v>
      </c>
      <c r="AR69" s="318" t="s">
        <v>190</v>
      </c>
      <c r="AS69" s="319">
        <v>18.5</v>
      </c>
      <c r="AT69" s="179">
        <v>5.43</v>
      </c>
      <c r="AU69" s="179">
        <v>4</v>
      </c>
      <c r="AV69" s="179">
        <v>4</v>
      </c>
      <c r="AW69" s="179">
        <v>0.75</v>
      </c>
      <c r="AX69" s="320">
        <v>1.125</v>
      </c>
      <c r="AY69" s="318">
        <v>1.125</v>
      </c>
      <c r="AZ69" s="319">
        <v>1.27</v>
      </c>
      <c r="BA69" s="179">
        <v>1.27</v>
      </c>
      <c r="BB69" s="179">
        <v>0.679</v>
      </c>
      <c r="BC69" s="179">
        <v>0.679</v>
      </c>
      <c r="BD69" s="179">
        <v>7.62</v>
      </c>
      <c r="BE69" s="320">
        <v>5.02</v>
      </c>
      <c r="BF69" s="318">
        <v>2.79</v>
      </c>
      <c r="BG69" s="319">
        <v>1.18</v>
      </c>
      <c r="BH69" s="179">
        <v>7.62</v>
      </c>
      <c r="BI69" s="179">
        <v>5.01</v>
      </c>
      <c r="BJ69" s="179">
        <v>2.79</v>
      </c>
      <c r="BK69" s="179">
        <v>1.18</v>
      </c>
      <c r="BL69" s="320">
        <v>0.774</v>
      </c>
      <c r="BM69" s="318">
        <v>1.02</v>
      </c>
      <c r="BN69" s="319">
        <v>1.12</v>
      </c>
      <c r="BO69" s="179">
        <v>2.1</v>
      </c>
      <c r="BP69" s="179">
        <v>0.637</v>
      </c>
      <c r="BQ69" s="179">
        <v>1</v>
      </c>
      <c r="BR69" s="179">
        <v>1</v>
      </c>
      <c r="BS69" s="320">
        <v>0</v>
      </c>
    </row>
    <row r="70" spans="1:71" ht="12.75">
      <c r="A70" s="109" t="s">
        <v>36</v>
      </c>
      <c r="B70" s="39"/>
      <c r="C70" s="7"/>
      <c r="D70" s="39"/>
      <c r="E70" s="43"/>
      <c r="F70" s="44"/>
      <c r="G70" s="44"/>
      <c r="H70" s="39"/>
      <c r="I70" s="14"/>
      <c r="J70" s="15"/>
      <c r="K70" s="14"/>
      <c r="L70" s="14"/>
      <c r="M70" s="14"/>
      <c r="N70" s="14"/>
      <c r="O70" s="14"/>
      <c r="P70" s="44"/>
      <c r="Q70" s="44"/>
      <c r="R70" s="112"/>
      <c r="S70" s="39"/>
      <c r="T70" s="32"/>
      <c r="U70" s="32"/>
      <c r="V70" s="24"/>
      <c r="W70" s="48"/>
      <c r="X70" s="3"/>
      <c r="Y70" s="41"/>
      <c r="Z70" s="22"/>
      <c r="AA70" s="22"/>
      <c r="AB70" s="32"/>
      <c r="AC70" s="32"/>
      <c r="AD70" s="32"/>
      <c r="AE70" s="32"/>
      <c r="AF70" s="135"/>
      <c r="AG70" s="135"/>
      <c r="AH70" s="135"/>
      <c r="AI70" s="327" t="s">
        <v>420</v>
      </c>
      <c r="AJ70" s="328">
        <v>32.4</v>
      </c>
      <c r="AK70" s="330">
        <v>1.14</v>
      </c>
      <c r="AL70" s="328">
        <v>15.4</v>
      </c>
      <c r="AM70" s="330">
        <v>2.05</v>
      </c>
      <c r="AN70" s="330">
        <v>2.84</v>
      </c>
      <c r="AO70" s="331">
        <v>1040</v>
      </c>
      <c r="AP70" s="331">
        <v>1190</v>
      </c>
      <c r="AQ70" s="13">
        <v>66</v>
      </c>
      <c r="AR70" s="318" t="s">
        <v>191</v>
      </c>
      <c r="AS70" s="319">
        <v>15.7</v>
      </c>
      <c r="AT70" s="179">
        <v>4.61</v>
      </c>
      <c r="AU70" s="179">
        <v>4</v>
      </c>
      <c r="AV70" s="179">
        <v>4</v>
      </c>
      <c r="AW70" s="179">
        <v>0.625</v>
      </c>
      <c r="AX70" s="320">
        <v>1</v>
      </c>
      <c r="AY70" s="318">
        <v>1</v>
      </c>
      <c r="AZ70" s="319">
        <v>1.22</v>
      </c>
      <c r="BA70" s="179">
        <v>1.22</v>
      </c>
      <c r="BB70" s="179">
        <v>0.576</v>
      </c>
      <c r="BC70" s="179">
        <v>0.576</v>
      </c>
      <c r="BD70" s="179">
        <v>6.62</v>
      </c>
      <c r="BE70" s="320">
        <v>4.28</v>
      </c>
      <c r="BF70" s="318">
        <v>2.38</v>
      </c>
      <c r="BG70" s="319">
        <v>1.2</v>
      </c>
      <c r="BH70" s="179">
        <v>6.62</v>
      </c>
      <c r="BI70" s="179">
        <v>4.28</v>
      </c>
      <c r="BJ70" s="179">
        <v>2.38</v>
      </c>
      <c r="BK70" s="179">
        <v>1.2</v>
      </c>
      <c r="BL70" s="320">
        <v>0.774</v>
      </c>
      <c r="BM70" s="318">
        <v>0.61</v>
      </c>
      <c r="BN70" s="319">
        <v>0.68</v>
      </c>
      <c r="BO70" s="179">
        <v>2.13</v>
      </c>
      <c r="BP70" s="179">
        <v>0.636</v>
      </c>
      <c r="BQ70" s="179">
        <v>1</v>
      </c>
      <c r="BR70" s="179">
        <v>1</v>
      </c>
      <c r="BS70" s="320">
        <v>0</v>
      </c>
    </row>
    <row r="71" spans="1:71" ht="12.75">
      <c r="A71" s="54" t="s">
        <v>78</v>
      </c>
      <c r="B71" s="286">
        <f>$X$39</f>
        <v>21.623419827012643</v>
      </c>
      <c r="C71" s="101" t="s">
        <v>9</v>
      </c>
      <c r="D71" s="39" t="s">
        <v>96</v>
      </c>
      <c r="E71" s="43"/>
      <c r="F71" s="44"/>
      <c r="G71" s="44"/>
      <c r="H71" s="85"/>
      <c r="I71" s="14"/>
      <c r="J71" s="15"/>
      <c r="K71" s="45"/>
      <c r="L71" s="14"/>
      <c r="M71" s="14"/>
      <c r="N71" s="14"/>
      <c r="O71" s="14"/>
      <c r="P71" s="44"/>
      <c r="Q71" s="44"/>
      <c r="R71" s="61"/>
      <c r="S71" s="39"/>
      <c r="T71" s="32"/>
      <c r="U71" s="32"/>
      <c r="V71" s="24"/>
      <c r="W71" s="41"/>
      <c r="X71" s="23"/>
      <c r="Y71" s="23"/>
      <c r="Z71" s="22"/>
      <c r="AA71" s="22"/>
      <c r="AB71" s="32"/>
      <c r="AC71" s="32"/>
      <c r="AD71" s="32"/>
      <c r="AE71" s="32"/>
      <c r="AF71" s="135"/>
      <c r="AG71" s="135"/>
      <c r="AH71" s="135"/>
      <c r="AI71" s="327" t="s">
        <v>421</v>
      </c>
      <c r="AJ71" s="328">
        <v>32</v>
      </c>
      <c r="AK71" s="330">
        <v>1.02</v>
      </c>
      <c r="AL71" s="328">
        <v>15.3</v>
      </c>
      <c r="AM71" s="330">
        <v>1.85</v>
      </c>
      <c r="AN71" s="330">
        <v>2.64</v>
      </c>
      <c r="AO71" s="331">
        <v>930</v>
      </c>
      <c r="AP71" s="331">
        <v>1060</v>
      </c>
      <c r="AQ71" s="13">
        <v>67</v>
      </c>
      <c r="AR71" s="318" t="s">
        <v>192</v>
      </c>
      <c r="AS71" s="319">
        <v>12.7</v>
      </c>
      <c r="AT71" s="179">
        <v>3.75</v>
      </c>
      <c r="AU71" s="179">
        <v>4</v>
      </c>
      <c r="AV71" s="179">
        <v>4</v>
      </c>
      <c r="AW71" s="179">
        <v>0.5</v>
      </c>
      <c r="AX71" s="320">
        <v>0.875</v>
      </c>
      <c r="AY71" s="318">
        <v>0.875</v>
      </c>
      <c r="AZ71" s="319">
        <v>1.18</v>
      </c>
      <c r="BA71" s="179">
        <v>1.18</v>
      </c>
      <c r="BB71" s="179">
        <v>0.468</v>
      </c>
      <c r="BC71" s="179">
        <v>0.468</v>
      </c>
      <c r="BD71" s="179">
        <v>5.52</v>
      </c>
      <c r="BE71" s="320">
        <v>3.5</v>
      </c>
      <c r="BF71" s="318">
        <v>1.96</v>
      </c>
      <c r="BG71" s="319">
        <v>1.21</v>
      </c>
      <c r="BH71" s="179">
        <v>5.52</v>
      </c>
      <c r="BI71" s="179">
        <v>3.5</v>
      </c>
      <c r="BJ71" s="179">
        <v>1.96</v>
      </c>
      <c r="BK71" s="179">
        <v>1.21</v>
      </c>
      <c r="BL71" s="320">
        <v>0.776</v>
      </c>
      <c r="BM71" s="318">
        <v>0.322</v>
      </c>
      <c r="BN71" s="319">
        <v>0.366</v>
      </c>
      <c r="BO71" s="179">
        <v>2.16</v>
      </c>
      <c r="BP71" s="179">
        <v>0.63</v>
      </c>
      <c r="BQ71" s="179">
        <v>1</v>
      </c>
      <c r="BR71" s="179">
        <v>1</v>
      </c>
      <c r="BS71" s="320">
        <v>0</v>
      </c>
    </row>
    <row r="72" spans="1:71" ht="12.75">
      <c r="A72" s="19"/>
      <c r="B72" s="14"/>
      <c r="C72" s="14"/>
      <c r="D72" s="14"/>
      <c r="E72" s="14"/>
      <c r="F72" s="44"/>
      <c r="G72" s="44"/>
      <c r="H72" s="112"/>
      <c r="I72" s="14"/>
      <c r="J72" s="15"/>
      <c r="K72" s="47"/>
      <c r="L72" s="3"/>
      <c r="M72" s="101"/>
      <c r="N72" s="39"/>
      <c r="O72" s="39"/>
      <c r="P72" s="44"/>
      <c r="Q72" s="44"/>
      <c r="R72" s="53"/>
      <c r="S72" s="39"/>
      <c r="T72" s="32"/>
      <c r="U72" s="32"/>
      <c r="V72" s="24"/>
      <c r="W72" s="87"/>
      <c r="X72" s="12"/>
      <c r="Y72" s="79"/>
      <c r="Z72" s="79"/>
      <c r="AA72" s="22"/>
      <c r="AB72" s="32"/>
      <c r="AC72" s="32"/>
      <c r="AD72" s="32"/>
      <c r="AE72" s="32"/>
      <c r="AF72" s="135"/>
      <c r="AG72" s="135"/>
      <c r="AH72" s="135"/>
      <c r="AI72" s="327" t="s">
        <v>422</v>
      </c>
      <c r="AJ72" s="328">
        <v>31.6</v>
      </c>
      <c r="AK72" s="329">
        <v>0.93</v>
      </c>
      <c r="AL72" s="328">
        <v>15.2</v>
      </c>
      <c r="AM72" s="330">
        <v>1.65</v>
      </c>
      <c r="AN72" s="330">
        <v>2.44</v>
      </c>
      <c r="AO72" s="331">
        <v>829</v>
      </c>
      <c r="AP72" s="331">
        <v>943</v>
      </c>
      <c r="AQ72" s="13">
        <v>68</v>
      </c>
      <c r="AR72" s="318" t="s">
        <v>193</v>
      </c>
      <c r="AS72" s="319">
        <v>11.2</v>
      </c>
      <c r="AT72" s="179">
        <v>3.3</v>
      </c>
      <c r="AU72" s="179">
        <v>4</v>
      </c>
      <c r="AV72" s="179">
        <v>4</v>
      </c>
      <c r="AW72" s="179">
        <v>0.4375</v>
      </c>
      <c r="AX72" s="320">
        <v>0.8125</v>
      </c>
      <c r="AY72" s="318">
        <v>0.8125</v>
      </c>
      <c r="AZ72" s="319">
        <v>1.15</v>
      </c>
      <c r="BA72" s="179">
        <v>1.15</v>
      </c>
      <c r="BB72" s="179">
        <v>0.413</v>
      </c>
      <c r="BC72" s="179">
        <v>0.413</v>
      </c>
      <c r="BD72" s="179">
        <v>4.93</v>
      </c>
      <c r="BE72" s="320">
        <v>3.1</v>
      </c>
      <c r="BF72" s="318">
        <v>1.73</v>
      </c>
      <c r="BG72" s="319">
        <v>1.22</v>
      </c>
      <c r="BH72" s="179">
        <v>4.93</v>
      </c>
      <c r="BI72" s="179">
        <v>3.1</v>
      </c>
      <c r="BJ72" s="179">
        <v>1.73</v>
      </c>
      <c r="BK72" s="179">
        <v>1.22</v>
      </c>
      <c r="BL72" s="320">
        <v>0.777</v>
      </c>
      <c r="BM72" s="318">
        <v>0.22</v>
      </c>
      <c r="BN72" s="319">
        <v>0.252</v>
      </c>
      <c r="BO72" s="179">
        <v>2.17</v>
      </c>
      <c r="BP72" s="179">
        <v>0.633</v>
      </c>
      <c r="BQ72" s="179">
        <v>1</v>
      </c>
      <c r="BR72" s="179">
        <v>1</v>
      </c>
      <c r="BS72" s="320">
        <v>0</v>
      </c>
    </row>
    <row r="73" spans="1:71" ht="12.75">
      <c r="A73" s="109" t="s">
        <v>77</v>
      </c>
      <c r="B73" s="14"/>
      <c r="C73" s="14"/>
      <c r="D73" s="14"/>
      <c r="E73" s="14"/>
      <c r="F73" s="44"/>
      <c r="G73" s="44"/>
      <c r="H73" s="61"/>
      <c r="I73" s="14"/>
      <c r="J73" s="15"/>
      <c r="K73" s="14"/>
      <c r="L73" s="14"/>
      <c r="M73" s="14"/>
      <c r="N73" s="14"/>
      <c r="O73" s="14"/>
      <c r="P73" s="14"/>
      <c r="Q73" s="14"/>
      <c r="R73" s="44"/>
      <c r="S73" s="39"/>
      <c r="T73" s="32"/>
      <c r="U73" s="32"/>
      <c r="V73" s="24"/>
      <c r="W73" s="48"/>
      <c r="X73" s="6"/>
      <c r="Y73" s="41"/>
      <c r="Z73" s="41"/>
      <c r="AA73" s="22"/>
      <c r="AB73" s="32"/>
      <c r="AC73" s="32"/>
      <c r="AD73" s="32"/>
      <c r="AE73" s="32"/>
      <c r="AF73" s="135"/>
      <c r="AG73" s="135"/>
      <c r="AH73" s="135"/>
      <c r="AI73" s="327" t="s">
        <v>423</v>
      </c>
      <c r="AJ73" s="328">
        <v>31.3</v>
      </c>
      <c r="AK73" s="329">
        <v>0.83</v>
      </c>
      <c r="AL73" s="328">
        <v>15.1</v>
      </c>
      <c r="AM73" s="330">
        <v>1.5</v>
      </c>
      <c r="AN73" s="330">
        <v>2.29</v>
      </c>
      <c r="AO73" s="331">
        <v>748</v>
      </c>
      <c r="AP73" s="331">
        <v>847</v>
      </c>
      <c r="AQ73" s="13">
        <v>69</v>
      </c>
      <c r="AR73" s="318" t="s">
        <v>194</v>
      </c>
      <c r="AS73" s="319">
        <v>9.72</v>
      </c>
      <c r="AT73" s="179">
        <v>2.86</v>
      </c>
      <c r="AU73" s="179">
        <v>4</v>
      </c>
      <c r="AV73" s="179">
        <v>4</v>
      </c>
      <c r="AW73" s="179">
        <v>0.375</v>
      </c>
      <c r="AX73" s="320">
        <v>0.75</v>
      </c>
      <c r="AY73" s="318">
        <v>0.75</v>
      </c>
      <c r="AZ73" s="319">
        <v>1.13</v>
      </c>
      <c r="BA73" s="179">
        <v>1.13</v>
      </c>
      <c r="BB73" s="179">
        <v>0.357</v>
      </c>
      <c r="BC73" s="179">
        <v>0.357</v>
      </c>
      <c r="BD73" s="179">
        <v>4.32</v>
      </c>
      <c r="BE73" s="320">
        <v>2.69</v>
      </c>
      <c r="BF73" s="318">
        <v>1.5</v>
      </c>
      <c r="BG73" s="319">
        <v>1.23</v>
      </c>
      <c r="BH73" s="179">
        <v>4.32</v>
      </c>
      <c r="BI73" s="179">
        <v>2.68</v>
      </c>
      <c r="BJ73" s="179">
        <v>1.5</v>
      </c>
      <c r="BK73" s="179">
        <v>1.23</v>
      </c>
      <c r="BL73" s="320">
        <v>0.779</v>
      </c>
      <c r="BM73" s="318">
        <v>0.141</v>
      </c>
      <c r="BN73" s="319">
        <v>0.162</v>
      </c>
      <c r="BO73" s="179">
        <v>2.19</v>
      </c>
      <c r="BP73" s="179">
        <v>0.629</v>
      </c>
      <c r="BQ73" s="179">
        <v>1</v>
      </c>
      <c r="BR73" s="179">
        <v>1</v>
      </c>
      <c r="BS73" s="320">
        <v>0</v>
      </c>
    </row>
    <row r="74" spans="1:71" ht="12.75">
      <c r="A74" s="54" t="s">
        <v>80</v>
      </c>
      <c r="B74" s="286">
        <f>$X$41</f>
        <v>50.922</v>
      </c>
      <c r="C74" s="101" t="s">
        <v>17</v>
      </c>
      <c r="D74" s="39" t="s">
        <v>97</v>
      </c>
      <c r="E74" s="39"/>
      <c r="F74" s="44"/>
      <c r="G74" s="44"/>
      <c r="H74" s="53"/>
      <c r="I74" s="14"/>
      <c r="J74" s="15"/>
      <c r="K74" s="14"/>
      <c r="L74" s="14"/>
      <c r="M74" s="14"/>
      <c r="N74" s="14"/>
      <c r="O74" s="14"/>
      <c r="P74" s="14"/>
      <c r="Q74" s="14"/>
      <c r="R74" s="44"/>
      <c r="S74" s="44"/>
      <c r="T74" s="32"/>
      <c r="U74" s="32"/>
      <c r="V74" s="24"/>
      <c r="W74" s="48"/>
      <c r="X74" s="3"/>
      <c r="Y74" s="41"/>
      <c r="Z74" s="41"/>
      <c r="AA74" s="22"/>
      <c r="AB74" s="32"/>
      <c r="AC74" s="32"/>
      <c r="AD74" s="32"/>
      <c r="AE74" s="32"/>
      <c r="AF74" s="135"/>
      <c r="AG74" s="135"/>
      <c r="AH74" s="135"/>
      <c r="AI74" s="327" t="s">
        <v>424</v>
      </c>
      <c r="AJ74" s="328">
        <v>30.9</v>
      </c>
      <c r="AK74" s="329">
        <v>0.775</v>
      </c>
      <c r="AL74" s="328">
        <v>15.1</v>
      </c>
      <c r="AM74" s="330">
        <v>1.32</v>
      </c>
      <c r="AN74" s="330">
        <v>2.1</v>
      </c>
      <c r="AO74" s="331">
        <v>665</v>
      </c>
      <c r="AP74" s="331">
        <v>751</v>
      </c>
      <c r="AQ74" s="13">
        <v>70</v>
      </c>
      <c r="AR74" s="318" t="s">
        <v>195</v>
      </c>
      <c r="AS74" s="319">
        <v>8.16</v>
      </c>
      <c r="AT74" s="179">
        <v>2.4</v>
      </c>
      <c r="AU74" s="179">
        <v>4</v>
      </c>
      <c r="AV74" s="179">
        <v>4</v>
      </c>
      <c r="AW74" s="179">
        <v>0.3125</v>
      </c>
      <c r="AX74" s="320">
        <v>0.6875</v>
      </c>
      <c r="AY74" s="318">
        <v>0.6875</v>
      </c>
      <c r="AZ74" s="319">
        <v>1.11</v>
      </c>
      <c r="BA74" s="179">
        <v>1.11</v>
      </c>
      <c r="BB74" s="179">
        <v>0.3</v>
      </c>
      <c r="BC74" s="179">
        <v>0.3</v>
      </c>
      <c r="BD74" s="179">
        <v>3.67</v>
      </c>
      <c r="BE74" s="320">
        <v>2.26</v>
      </c>
      <c r="BF74" s="318">
        <v>1.27</v>
      </c>
      <c r="BG74" s="319">
        <v>1.24</v>
      </c>
      <c r="BH74" s="179">
        <v>3.67</v>
      </c>
      <c r="BI74" s="179">
        <v>2.26</v>
      </c>
      <c r="BJ74" s="179">
        <v>1.27</v>
      </c>
      <c r="BK74" s="179">
        <v>1.24</v>
      </c>
      <c r="BL74" s="320">
        <v>0.781</v>
      </c>
      <c r="BM74" s="318">
        <v>0.0832</v>
      </c>
      <c r="BN74" s="319">
        <v>0.0963</v>
      </c>
      <c r="BO74" s="179">
        <v>2.21</v>
      </c>
      <c r="BP74" s="179">
        <v>0.627</v>
      </c>
      <c r="BQ74" s="179">
        <v>1</v>
      </c>
      <c r="BR74" s="179">
        <v>0.9972513022736579</v>
      </c>
      <c r="BS74" s="320">
        <v>0</v>
      </c>
    </row>
    <row r="75" spans="1:71" ht="12.75">
      <c r="A75" s="19"/>
      <c r="B75" s="14"/>
      <c r="C75" s="14"/>
      <c r="D75" s="14"/>
      <c r="E75" s="14"/>
      <c r="F75" s="14"/>
      <c r="G75" s="14"/>
      <c r="H75" s="14"/>
      <c r="I75" s="14"/>
      <c r="J75" s="15"/>
      <c r="K75" s="47"/>
      <c r="L75" s="4"/>
      <c r="M75" s="43"/>
      <c r="N75" s="43"/>
      <c r="O75" s="39"/>
      <c r="P75" s="39"/>
      <c r="Q75" s="39"/>
      <c r="R75" s="44"/>
      <c r="S75" s="39"/>
      <c r="T75" s="32"/>
      <c r="U75" s="32"/>
      <c r="V75" s="24"/>
      <c r="W75" s="48"/>
      <c r="X75" s="3"/>
      <c r="Y75" s="41"/>
      <c r="Z75" s="41"/>
      <c r="AA75" s="22"/>
      <c r="AB75" s="32"/>
      <c r="AC75" s="32"/>
      <c r="AD75" s="32"/>
      <c r="AE75" s="32"/>
      <c r="AF75" s="135"/>
      <c r="AG75" s="135"/>
      <c r="AH75" s="135"/>
      <c r="AI75" s="327" t="s">
        <v>425</v>
      </c>
      <c r="AJ75" s="328">
        <v>30.7</v>
      </c>
      <c r="AK75" s="329">
        <v>0.71</v>
      </c>
      <c r="AL75" s="328">
        <v>15</v>
      </c>
      <c r="AM75" s="330">
        <v>1.19</v>
      </c>
      <c r="AN75" s="330">
        <v>1.97</v>
      </c>
      <c r="AO75" s="331">
        <v>600</v>
      </c>
      <c r="AP75" s="331">
        <v>675</v>
      </c>
      <c r="AQ75" s="13">
        <v>71</v>
      </c>
      <c r="AR75" s="318" t="s">
        <v>196</v>
      </c>
      <c r="AS75" s="319">
        <v>6.58</v>
      </c>
      <c r="AT75" s="179">
        <v>1.93</v>
      </c>
      <c r="AU75" s="179">
        <v>4</v>
      </c>
      <c r="AV75" s="179">
        <v>4</v>
      </c>
      <c r="AW75" s="179">
        <v>0.25</v>
      </c>
      <c r="AX75" s="320">
        <v>0.625</v>
      </c>
      <c r="AY75" s="318">
        <v>0.625</v>
      </c>
      <c r="AZ75" s="319">
        <v>1.08</v>
      </c>
      <c r="BA75" s="179">
        <v>1.08</v>
      </c>
      <c r="BB75" s="179">
        <v>0.242</v>
      </c>
      <c r="BC75" s="179">
        <v>0.242</v>
      </c>
      <c r="BD75" s="179">
        <v>3</v>
      </c>
      <c r="BE75" s="320">
        <v>1.82</v>
      </c>
      <c r="BF75" s="318">
        <v>1.03</v>
      </c>
      <c r="BG75" s="319">
        <v>1.25</v>
      </c>
      <c r="BH75" s="179">
        <v>3</v>
      </c>
      <c r="BI75" s="179">
        <v>1.82</v>
      </c>
      <c r="BJ75" s="179">
        <v>1.03</v>
      </c>
      <c r="BK75" s="179">
        <v>1.25</v>
      </c>
      <c r="BL75" s="320">
        <v>0.783</v>
      </c>
      <c r="BM75" s="318">
        <v>0.0438</v>
      </c>
      <c r="BN75" s="319">
        <v>0.0505</v>
      </c>
      <c r="BO75" s="179">
        <v>2.22</v>
      </c>
      <c r="BP75" s="179">
        <v>0.63</v>
      </c>
      <c r="BQ75" s="179">
        <v>1</v>
      </c>
      <c r="BR75" s="179">
        <v>0.9115641278420724</v>
      </c>
      <c r="BS75" s="320">
        <v>0</v>
      </c>
    </row>
    <row r="76" spans="1:71" ht="12.75">
      <c r="A76" s="109" t="s">
        <v>816</v>
      </c>
      <c r="B76" s="14"/>
      <c r="C76" s="14"/>
      <c r="D76" s="14"/>
      <c r="E76" s="14"/>
      <c r="F76" s="14"/>
      <c r="G76" s="14"/>
      <c r="H76" s="14"/>
      <c r="I76" s="14"/>
      <c r="J76" s="15"/>
      <c r="K76" s="304"/>
      <c r="L76" s="14"/>
      <c r="M76" s="14"/>
      <c r="N76" s="14"/>
      <c r="O76" s="14"/>
      <c r="P76" s="14"/>
      <c r="Q76" s="14"/>
      <c r="R76" s="14"/>
      <c r="S76" s="14"/>
      <c r="T76" s="24"/>
      <c r="U76" s="24"/>
      <c r="V76" s="24"/>
      <c r="W76" s="32"/>
      <c r="X76" s="32"/>
      <c r="Y76" s="88"/>
      <c r="Z76" s="32"/>
      <c r="AA76" s="32"/>
      <c r="AB76" s="32"/>
      <c r="AC76" s="32"/>
      <c r="AD76" s="32"/>
      <c r="AE76" s="32"/>
      <c r="AF76" s="135"/>
      <c r="AG76" s="135"/>
      <c r="AH76" s="135"/>
      <c r="AI76" s="327" t="s">
        <v>426</v>
      </c>
      <c r="AJ76" s="328">
        <v>30.4</v>
      </c>
      <c r="AK76" s="329">
        <v>0.655</v>
      </c>
      <c r="AL76" s="328">
        <v>15</v>
      </c>
      <c r="AM76" s="330">
        <v>1.07</v>
      </c>
      <c r="AN76" s="330">
        <v>1.85</v>
      </c>
      <c r="AO76" s="331">
        <v>541</v>
      </c>
      <c r="AP76" s="331">
        <v>607</v>
      </c>
      <c r="AQ76" s="13">
        <v>72</v>
      </c>
      <c r="AR76" s="318" t="s">
        <v>197</v>
      </c>
      <c r="AS76" s="319">
        <v>11.9</v>
      </c>
      <c r="AT76" s="179">
        <v>3.5</v>
      </c>
      <c r="AU76" s="179">
        <v>4</v>
      </c>
      <c r="AV76" s="179">
        <v>3.5</v>
      </c>
      <c r="AW76" s="179">
        <v>0.5</v>
      </c>
      <c r="AX76" s="320">
        <v>0.875</v>
      </c>
      <c r="AY76" s="318">
        <v>0.875</v>
      </c>
      <c r="AZ76" s="319">
        <v>0.994</v>
      </c>
      <c r="BA76" s="179">
        <v>1.24</v>
      </c>
      <c r="BB76" s="179">
        <v>0.438</v>
      </c>
      <c r="BC76" s="179">
        <v>0.497</v>
      </c>
      <c r="BD76" s="179">
        <v>5.3</v>
      </c>
      <c r="BE76" s="320">
        <v>3.46</v>
      </c>
      <c r="BF76" s="318">
        <v>1.92</v>
      </c>
      <c r="BG76" s="319">
        <v>1.23</v>
      </c>
      <c r="BH76" s="179">
        <v>3.76</v>
      </c>
      <c r="BI76" s="179">
        <v>2.69</v>
      </c>
      <c r="BJ76" s="179">
        <v>1.5</v>
      </c>
      <c r="BK76" s="179">
        <v>1.04</v>
      </c>
      <c r="BL76" s="320">
        <v>0.716</v>
      </c>
      <c r="BM76" s="318">
        <v>0.301</v>
      </c>
      <c r="BN76" s="319">
        <v>0.302</v>
      </c>
      <c r="BO76" s="179">
        <v>2.03</v>
      </c>
      <c r="BP76" s="179">
        <v>0</v>
      </c>
      <c r="BQ76" s="179">
        <v>0.75</v>
      </c>
      <c r="BR76" s="179">
        <v>1</v>
      </c>
      <c r="BS76" s="320">
        <v>0.87</v>
      </c>
    </row>
    <row r="77" spans="1:71" ht="12.75">
      <c r="A77" s="253" t="s">
        <v>255</v>
      </c>
      <c r="B77" s="131">
        <f>BE136</f>
        <v>6</v>
      </c>
      <c r="C77" s="101" t="s">
        <v>19</v>
      </c>
      <c r="D77" s="43" t="s">
        <v>256</v>
      </c>
      <c r="E77" s="14"/>
      <c r="F77" s="14"/>
      <c r="G77" s="14"/>
      <c r="H77" s="14"/>
      <c r="I77" s="14"/>
      <c r="J77" s="15"/>
      <c r="K77" s="21"/>
      <c r="L77" s="22"/>
      <c r="M77" s="3"/>
      <c r="N77" s="345"/>
      <c r="O77" s="96"/>
      <c r="P77" s="3"/>
      <c r="Q77" s="22"/>
      <c r="R77" s="22"/>
      <c r="S77" s="22"/>
      <c r="T77" s="24"/>
      <c r="U77" s="24"/>
      <c r="V77" s="24"/>
      <c r="W77" s="32"/>
      <c r="X77" s="32"/>
      <c r="Y77" s="88"/>
      <c r="Z77" s="32"/>
      <c r="AA77" s="32"/>
      <c r="AB77" s="32"/>
      <c r="AC77" s="32"/>
      <c r="AD77" s="32"/>
      <c r="AE77" s="32"/>
      <c r="AF77" s="32"/>
      <c r="AG77" s="32"/>
      <c r="AH77" s="32"/>
      <c r="AI77" s="327" t="s">
        <v>427</v>
      </c>
      <c r="AJ77" s="328">
        <v>30.7</v>
      </c>
      <c r="AK77" s="329">
        <v>0.65</v>
      </c>
      <c r="AL77" s="328">
        <v>10.5</v>
      </c>
      <c r="AM77" s="330">
        <v>1.18</v>
      </c>
      <c r="AN77" s="330">
        <v>1.83</v>
      </c>
      <c r="AO77" s="331">
        <v>436</v>
      </c>
      <c r="AP77" s="331">
        <v>500</v>
      </c>
      <c r="AQ77" s="13">
        <v>73</v>
      </c>
      <c r="AR77" s="318" t="s">
        <v>198</v>
      </c>
      <c r="AS77" s="319">
        <v>9.1</v>
      </c>
      <c r="AT77" s="179">
        <v>2.68</v>
      </c>
      <c r="AU77" s="179">
        <v>4</v>
      </c>
      <c r="AV77" s="179">
        <v>3.5</v>
      </c>
      <c r="AW77" s="179">
        <v>0.375</v>
      </c>
      <c r="AX77" s="320">
        <v>0.75</v>
      </c>
      <c r="AY77" s="318">
        <v>0.75</v>
      </c>
      <c r="AZ77" s="319">
        <v>0.947</v>
      </c>
      <c r="BA77" s="179">
        <v>1.2</v>
      </c>
      <c r="BB77" s="179">
        <v>0.334</v>
      </c>
      <c r="BC77" s="179">
        <v>0.433</v>
      </c>
      <c r="BD77" s="179">
        <v>4.15</v>
      </c>
      <c r="BE77" s="320">
        <v>2.66</v>
      </c>
      <c r="BF77" s="318">
        <v>1.48</v>
      </c>
      <c r="BG77" s="319">
        <v>1.25</v>
      </c>
      <c r="BH77" s="179">
        <v>2.96</v>
      </c>
      <c r="BI77" s="179">
        <v>2.06</v>
      </c>
      <c r="BJ77" s="179">
        <v>1.16</v>
      </c>
      <c r="BK77" s="179">
        <v>1.05</v>
      </c>
      <c r="BL77" s="320">
        <v>0.719</v>
      </c>
      <c r="BM77" s="318">
        <v>0.132</v>
      </c>
      <c r="BN77" s="319">
        <v>0.134</v>
      </c>
      <c r="BO77" s="179">
        <v>2.06</v>
      </c>
      <c r="BP77" s="179">
        <v>0</v>
      </c>
      <c r="BQ77" s="179">
        <v>0.755</v>
      </c>
      <c r="BR77" s="179">
        <v>1</v>
      </c>
      <c r="BS77" s="320">
        <v>0.87</v>
      </c>
    </row>
    <row r="78" spans="1:71" ht="12.75">
      <c r="A78" s="253" t="s">
        <v>260</v>
      </c>
      <c r="B78" s="132">
        <f aca="true" t="shared" si="1" ref="B78:B83">BE139</f>
        <v>2.125</v>
      </c>
      <c r="C78" s="101" t="s">
        <v>19</v>
      </c>
      <c r="D78" s="43" t="s">
        <v>261</v>
      </c>
      <c r="E78" s="14"/>
      <c r="F78" s="14"/>
      <c r="G78" s="14"/>
      <c r="H78" s="14"/>
      <c r="I78" s="14"/>
      <c r="J78" s="15"/>
      <c r="K78" s="21"/>
      <c r="L78" s="22"/>
      <c r="M78" s="3"/>
      <c r="N78" s="345"/>
      <c r="O78" s="96"/>
      <c r="P78" s="3"/>
      <c r="Q78" s="22"/>
      <c r="R78" s="22"/>
      <c r="S78" s="22"/>
      <c r="T78" s="24"/>
      <c r="U78" s="24"/>
      <c r="V78" s="24"/>
      <c r="W78" s="32"/>
      <c r="X78" s="32"/>
      <c r="Y78" s="88"/>
      <c r="Z78" s="32"/>
      <c r="AA78" s="32"/>
      <c r="AB78" s="32"/>
      <c r="AC78" s="32"/>
      <c r="AD78" s="32"/>
      <c r="AE78" s="32"/>
      <c r="AF78" s="344"/>
      <c r="AG78" s="344"/>
      <c r="AH78" s="344"/>
      <c r="AI78" s="327" t="s">
        <v>428</v>
      </c>
      <c r="AJ78" s="328">
        <v>30.3</v>
      </c>
      <c r="AK78" s="329">
        <v>0.615</v>
      </c>
      <c r="AL78" s="328">
        <v>10.5</v>
      </c>
      <c r="AM78" s="330">
        <v>1</v>
      </c>
      <c r="AN78" s="330">
        <v>1.65</v>
      </c>
      <c r="AO78" s="331">
        <v>380</v>
      </c>
      <c r="AP78" s="331">
        <v>437</v>
      </c>
      <c r="AQ78" s="13">
        <v>74</v>
      </c>
      <c r="AR78" s="318" t="s">
        <v>199</v>
      </c>
      <c r="AS78" s="319">
        <v>7.65</v>
      </c>
      <c r="AT78" s="179">
        <v>2.25</v>
      </c>
      <c r="AU78" s="179">
        <v>4</v>
      </c>
      <c r="AV78" s="179">
        <v>3.5</v>
      </c>
      <c r="AW78" s="179">
        <v>0.3125</v>
      </c>
      <c r="AX78" s="320">
        <v>0.6875</v>
      </c>
      <c r="AY78" s="318">
        <v>0.6875</v>
      </c>
      <c r="AZ78" s="319">
        <v>0.923</v>
      </c>
      <c r="BA78" s="179">
        <v>1.17</v>
      </c>
      <c r="BB78" s="179">
        <v>0.281</v>
      </c>
      <c r="BC78" s="179">
        <v>0.401</v>
      </c>
      <c r="BD78" s="179">
        <v>3.53</v>
      </c>
      <c r="BE78" s="320">
        <v>2.24</v>
      </c>
      <c r="BF78" s="318">
        <v>1.25</v>
      </c>
      <c r="BG78" s="319">
        <v>1.25</v>
      </c>
      <c r="BH78" s="179">
        <v>2.52</v>
      </c>
      <c r="BI78" s="179">
        <v>1.74</v>
      </c>
      <c r="BJ78" s="179">
        <v>0.98</v>
      </c>
      <c r="BK78" s="179">
        <v>1.06</v>
      </c>
      <c r="BL78" s="320">
        <v>0.721</v>
      </c>
      <c r="BM78" s="318">
        <v>0.0782</v>
      </c>
      <c r="BN78" s="319">
        <v>0.0798</v>
      </c>
      <c r="BO78" s="179">
        <v>2.08</v>
      </c>
      <c r="BP78" s="179">
        <v>0</v>
      </c>
      <c r="BQ78" s="179">
        <v>0.757</v>
      </c>
      <c r="BR78" s="179">
        <v>0.9972513022736579</v>
      </c>
      <c r="BS78" s="320">
        <v>0.87</v>
      </c>
    </row>
    <row r="79" spans="1:71" ht="12.75">
      <c r="A79" s="253" t="s">
        <v>263</v>
      </c>
      <c r="B79" s="132">
        <f t="shared" si="1"/>
        <v>0.3541666666666667</v>
      </c>
      <c r="C79" s="101">
        <f>IF(B79&gt;3,"Value of 'a' exceeds 3.0, beyond scope of table!","")</f>
      </c>
      <c r="D79" s="43" t="s">
        <v>264</v>
      </c>
      <c r="E79" s="14"/>
      <c r="F79" s="14"/>
      <c r="G79" s="14"/>
      <c r="H79" s="14"/>
      <c r="I79" s="14"/>
      <c r="J79" s="15"/>
      <c r="K79" s="21"/>
      <c r="L79" s="22"/>
      <c r="M79" s="3"/>
      <c r="N79" s="345"/>
      <c r="O79" s="96"/>
      <c r="P79" s="3"/>
      <c r="Q79" s="22"/>
      <c r="R79" s="22"/>
      <c r="S79" s="22"/>
      <c r="T79" s="24"/>
      <c r="U79" s="24"/>
      <c r="V79" s="24"/>
      <c r="W79" s="32"/>
      <c r="X79" s="32"/>
      <c r="Y79" s="88"/>
      <c r="Z79" s="32"/>
      <c r="AA79" s="32"/>
      <c r="AB79" s="32"/>
      <c r="AC79" s="32"/>
      <c r="AD79" s="32"/>
      <c r="AE79" s="32"/>
      <c r="AF79" s="32"/>
      <c r="AG79" s="32"/>
      <c r="AH79" s="32"/>
      <c r="AI79" s="327" t="s">
        <v>429</v>
      </c>
      <c r="AJ79" s="328">
        <v>30.2</v>
      </c>
      <c r="AK79" s="329">
        <v>0.585</v>
      </c>
      <c r="AL79" s="328">
        <v>10.5</v>
      </c>
      <c r="AM79" s="329">
        <v>0.93</v>
      </c>
      <c r="AN79" s="330">
        <v>1.58</v>
      </c>
      <c r="AO79" s="331">
        <v>355</v>
      </c>
      <c r="AP79" s="331">
        <v>408</v>
      </c>
      <c r="AQ79" s="13">
        <v>75</v>
      </c>
      <c r="AR79" s="318" t="s">
        <v>200</v>
      </c>
      <c r="AS79" s="319">
        <v>6.18</v>
      </c>
      <c r="AT79" s="179">
        <v>1.82</v>
      </c>
      <c r="AU79" s="179">
        <v>4</v>
      </c>
      <c r="AV79" s="179">
        <v>3.5</v>
      </c>
      <c r="AW79" s="179">
        <v>0.25</v>
      </c>
      <c r="AX79" s="320">
        <v>0.625</v>
      </c>
      <c r="AY79" s="318">
        <v>0.625</v>
      </c>
      <c r="AZ79" s="319">
        <v>0.897</v>
      </c>
      <c r="BA79" s="179">
        <v>1.14</v>
      </c>
      <c r="BB79" s="179">
        <v>0.227</v>
      </c>
      <c r="BC79" s="179">
        <v>0.368</v>
      </c>
      <c r="BD79" s="179">
        <v>2.89</v>
      </c>
      <c r="BE79" s="320">
        <v>1.81</v>
      </c>
      <c r="BF79" s="318">
        <v>1.01</v>
      </c>
      <c r="BG79" s="319">
        <v>1.26</v>
      </c>
      <c r="BH79" s="179">
        <v>2.07</v>
      </c>
      <c r="BI79" s="179">
        <v>1.4</v>
      </c>
      <c r="BJ79" s="179">
        <v>0.794</v>
      </c>
      <c r="BK79" s="179">
        <v>1.07</v>
      </c>
      <c r="BL79" s="320">
        <v>0.723</v>
      </c>
      <c r="BM79" s="318">
        <v>0.0412</v>
      </c>
      <c r="BN79" s="319">
        <v>0.0419</v>
      </c>
      <c r="BO79" s="179">
        <v>2.08</v>
      </c>
      <c r="BP79" s="179">
        <v>0</v>
      </c>
      <c r="BQ79" s="179">
        <v>0.759</v>
      </c>
      <c r="BR79" s="179">
        <v>0.9115641278420724</v>
      </c>
      <c r="BS79" s="320">
        <v>0.87</v>
      </c>
    </row>
    <row r="80" spans="1:71" ht="12.75">
      <c r="A80" s="253" t="s">
        <v>2</v>
      </c>
      <c r="B80" s="132">
        <f t="shared" si="1"/>
        <v>0</v>
      </c>
      <c r="C80" s="14">
        <f>IF(B80&gt;2,"Value of 'k' exceeds 2.0, beyond scope of table!","")</f>
      </c>
      <c r="D80" s="43" t="str">
        <f>IF($D$17="No","k = (kL)/L","k = 0  (for Special Case)")</f>
        <v>k = 0  (for Special Case)</v>
      </c>
      <c r="E80" s="14"/>
      <c r="F80" s="14"/>
      <c r="G80" s="14"/>
      <c r="H80" s="14"/>
      <c r="I80" s="14"/>
      <c r="J80" s="15"/>
      <c r="K80" s="21"/>
      <c r="L80" s="22"/>
      <c r="M80" s="3"/>
      <c r="N80" s="345"/>
      <c r="O80" s="96"/>
      <c r="P80" s="3"/>
      <c r="Q80" s="22"/>
      <c r="R80" s="22"/>
      <c r="S80" s="22"/>
      <c r="T80" s="24"/>
      <c r="U80" s="24"/>
      <c r="V80" s="24"/>
      <c r="W80" s="32"/>
      <c r="X80" s="32"/>
      <c r="Y80" s="88"/>
      <c r="Z80" s="32"/>
      <c r="AA80" s="32"/>
      <c r="AB80" s="32"/>
      <c r="AC80" s="32"/>
      <c r="AD80" s="32"/>
      <c r="AE80" s="32"/>
      <c r="AF80" s="342"/>
      <c r="AG80" s="342"/>
      <c r="AH80" s="342"/>
      <c r="AI80" s="327" t="s">
        <v>430</v>
      </c>
      <c r="AJ80" s="328">
        <v>30</v>
      </c>
      <c r="AK80" s="329">
        <v>0.565</v>
      </c>
      <c r="AL80" s="328">
        <v>10.5</v>
      </c>
      <c r="AM80" s="329">
        <v>0.85</v>
      </c>
      <c r="AN80" s="330">
        <v>1.5</v>
      </c>
      <c r="AO80" s="331">
        <v>329</v>
      </c>
      <c r="AP80" s="331">
        <v>378</v>
      </c>
      <c r="AQ80" s="13">
        <v>76</v>
      </c>
      <c r="AR80" s="318" t="s">
        <v>201</v>
      </c>
      <c r="AS80" s="319">
        <v>13.6</v>
      </c>
      <c r="AT80" s="179">
        <v>3.99</v>
      </c>
      <c r="AU80" s="179">
        <v>4</v>
      </c>
      <c r="AV80" s="179">
        <v>3</v>
      </c>
      <c r="AW80" s="179">
        <v>0.625</v>
      </c>
      <c r="AX80" s="320">
        <v>1</v>
      </c>
      <c r="AY80" s="318">
        <v>1</v>
      </c>
      <c r="AZ80" s="319">
        <v>0.867</v>
      </c>
      <c r="BA80" s="179">
        <v>1.37</v>
      </c>
      <c r="BB80" s="179">
        <v>0.498</v>
      </c>
      <c r="BC80" s="179">
        <v>0.81</v>
      </c>
      <c r="BD80" s="179">
        <v>6.01</v>
      </c>
      <c r="BE80" s="320">
        <v>4.08</v>
      </c>
      <c r="BF80" s="318">
        <v>2.28</v>
      </c>
      <c r="BG80" s="319">
        <v>1.23</v>
      </c>
      <c r="BH80" s="179">
        <v>2.85</v>
      </c>
      <c r="BI80" s="179">
        <v>2.45</v>
      </c>
      <c r="BJ80" s="179">
        <v>1.34</v>
      </c>
      <c r="BK80" s="179">
        <v>0.845</v>
      </c>
      <c r="BL80" s="320">
        <v>0.631</v>
      </c>
      <c r="BM80" s="318">
        <v>0.529</v>
      </c>
      <c r="BN80" s="319">
        <v>0.472</v>
      </c>
      <c r="BO80" s="179">
        <v>1.91</v>
      </c>
      <c r="BP80" s="179">
        <v>0</v>
      </c>
      <c r="BQ80" s="179">
        <v>0.534</v>
      </c>
      <c r="BR80" s="179">
        <v>1</v>
      </c>
      <c r="BS80" s="320">
        <v>1.65</v>
      </c>
    </row>
    <row r="81" spans="1:71" ht="12.75">
      <c r="A81" s="253" t="s">
        <v>266</v>
      </c>
      <c r="B81" s="132">
        <f t="shared" si="1"/>
        <v>1</v>
      </c>
      <c r="C81" s="101"/>
      <c r="D81" s="43" t="s">
        <v>267</v>
      </c>
      <c r="E81" s="14"/>
      <c r="F81" s="14"/>
      <c r="G81" s="14"/>
      <c r="H81" s="14"/>
      <c r="I81" s="14"/>
      <c r="J81" s="15"/>
      <c r="K81" s="21"/>
      <c r="L81" s="22"/>
      <c r="M81" s="3"/>
      <c r="N81" s="345"/>
      <c r="O81" s="96"/>
      <c r="P81" s="3"/>
      <c r="Q81" s="22"/>
      <c r="R81" s="22"/>
      <c r="S81" s="22"/>
      <c r="T81" s="24"/>
      <c r="U81" s="24"/>
      <c r="V81" s="24"/>
      <c r="W81" s="32"/>
      <c r="X81" s="32"/>
      <c r="Y81" s="88"/>
      <c r="Z81" s="32"/>
      <c r="AA81" s="32"/>
      <c r="AB81" s="32"/>
      <c r="AC81" s="32"/>
      <c r="AD81" s="32"/>
      <c r="AE81" s="32"/>
      <c r="AF81" s="343"/>
      <c r="AG81" s="343"/>
      <c r="AH81" s="343"/>
      <c r="AI81" s="327" t="s">
        <v>431</v>
      </c>
      <c r="AJ81" s="328">
        <v>29.8</v>
      </c>
      <c r="AK81" s="329">
        <v>0.545</v>
      </c>
      <c r="AL81" s="328">
        <v>10.5</v>
      </c>
      <c r="AM81" s="329">
        <v>0.76</v>
      </c>
      <c r="AN81" s="330">
        <v>1.41</v>
      </c>
      <c r="AO81" s="331">
        <v>299</v>
      </c>
      <c r="AP81" s="331">
        <v>346</v>
      </c>
      <c r="AQ81" s="13">
        <v>77</v>
      </c>
      <c r="AR81" s="318" t="s">
        <v>202</v>
      </c>
      <c r="AS81" s="319">
        <v>11.1</v>
      </c>
      <c r="AT81" s="179">
        <v>3.25</v>
      </c>
      <c r="AU81" s="179">
        <v>4</v>
      </c>
      <c r="AV81" s="179">
        <v>3</v>
      </c>
      <c r="AW81" s="179">
        <v>0.5</v>
      </c>
      <c r="AX81" s="320">
        <v>0.875</v>
      </c>
      <c r="AY81" s="318">
        <v>0.875</v>
      </c>
      <c r="AZ81" s="319">
        <v>0.822</v>
      </c>
      <c r="BA81" s="179">
        <v>1.32</v>
      </c>
      <c r="BB81" s="179">
        <v>0.407</v>
      </c>
      <c r="BC81" s="179">
        <v>0.747</v>
      </c>
      <c r="BD81" s="179">
        <v>5.02</v>
      </c>
      <c r="BE81" s="320">
        <v>3.36</v>
      </c>
      <c r="BF81" s="318">
        <v>1.87</v>
      </c>
      <c r="BG81" s="319">
        <v>1.24</v>
      </c>
      <c r="BH81" s="179">
        <v>2.4</v>
      </c>
      <c r="BI81" s="179">
        <v>1.99</v>
      </c>
      <c r="BJ81" s="179">
        <v>1.1</v>
      </c>
      <c r="BK81" s="179">
        <v>0.858</v>
      </c>
      <c r="BL81" s="320">
        <v>0.633</v>
      </c>
      <c r="BM81" s="318">
        <v>0.281</v>
      </c>
      <c r="BN81" s="319">
        <v>0.255</v>
      </c>
      <c r="BO81" s="179">
        <v>1.94</v>
      </c>
      <c r="BP81" s="179">
        <v>0</v>
      </c>
      <c r="BQ81" s="179">
        <v>0.543</v>
      </c>
      <c r="BR81" s="179">
        <v>1</v>
      </c>
      <c r="BS81" s="320">
        <v>1.65</v>
      </c>
    </row>
    <row r="82" spans="1:71" ht="12.75">
      <c r="A82" s="253" t="s">
        <v>269</v>
      </c>
      <c r="B82" s="134">
        <f t="shared" si="1"/>
        <v>2.857083333333333</v>
      </c>
      <c r="C82" s="101"/>
      <c r="D82" s="43" t="s">
        <v>270</v>
      </c>
      <c r="E82" s="14"/>
      <c r="F82" s="14"/>
      <c r="G82" s="14"/>
      <c r="H82" s="14"/>
      <c r="I82" s="14"/>
      <c r="J82" s="15"/>
      <c r="K82" s="21"/>
      <c r="L82" s="22"/>
      <c r="M82" s="3"/>
      <c r="N82" s="345"/>
      <c r="O82" s="96"/>
      <c r="P82" s="3"/>
      <c r="Q82" s="22"/>
      <c r="R82" s="22"/>
      <c r="S82" s="22"/>
      <c r="T82" s="24"/>
      <c r="U82" s="24"/>
      <c r="V82" s="24"/>
      <c r="W82" s="32"/>
      <c r="X82" s="32"/>
      <c r="Y82" s="88"/>
      <c r="Z82" s="32"/>
      <c r="AA82" s="32"/>
      <c r="AB82" s="32"/>
      <c r="AC82" s="32"/>
      <c r="AD82" s="32"/>
      <c r="AE82" s="32"/>
      <c r="AF82" s="32"/>
      <c r="AG82" s="32"/>
      <c r="AH82" s="32"/>
      <c r="AI82" s="327" t="s">
        <v>432</v>
      </c>
      <c r="AJ82" s="328">
        <v>29.7</v>
      </c>
      <c r="AK82" s="329">
        <v>0.52</v>
      </c>
      <c r="AL82" s="328">
        <v>10.5</v>
      </c>
      <c r="AM82" s="329">
        <v>0.67</v>
      </c>
      <c r="AN82" s="330">
        <v>1.32</v>
      </c>
      <c r="AO82" s="331">
        <v>269</v>
      </c>
      <c r="AP82" s="331">
        <v>312</v>
      </c>
      <c r="AQ82" s="13">
        <v>78</v>
      </c>
      <c r="AR82" s="318" t="s">
        <v>203</v>
      </c>
      <c r="AS82" s="319">
        <v>8.47</v>
      </c>
      <c r="AT82" s="179">
        <v>2.49</v>
      </c>
      <c r="AU82" s="179">
        <v>4</v>
      </c>
      <c r="AV82" s="179">
        <v>3</v>
      </c>
      <c r="AW82" s="179">
        <v>0.375</v>
      </c>
      <c r="AX82" s="320">
        <v>0.75</v>
      </c>
      <c r="AY82" s="318">
        <v>0.75</v>
      </c>
      <c r="AZ82" s="319">
        <v>0.775</v>
      </c>
      <c r="BA82" s="179">
        <v>1.27</v>
      </c>
      <c r="BB82" s="179">
        <v>0.311</v>
      </c>
      <c r="BC82" s="179">
        <v>0.683</v>
      </c>
      <c r="BD82" s="179">
        <v>3.94</v>
      </c>
      <c r="BE82" s="320">
        <v>2.6</v>
      </c>
      <c r="BF82" s="318">
        <v>1.44</v>
      </c>
      <c r="BG82" s="319">
        <v>1.26</v>
      </c>
      <c r="BH82" s="179">
        <v>1.89</v>
      </c>
      <c r="BI82" s="179">
        <v>1.52</v>
      </c>
      <c r="BJ82" s="179">
        <v>0.851</v>
      </c>
      <c r="BK82" s="179">
        <v>0.873</v>
      </c>
      <c r="BL82" s="320">
        <v>0.636</v>
      </c>
      <c r="BM82" s="318">
        <v>0.123</v>
      </c>
      <c r="BN82" s="319">
        <v>0.114</v>
      </c>
      <c r="BO82" s="179">
        <v>1.97</v>
      </c>
      <c r="BP82" s="179">
        <v>0</v>
      </c>
      <c r="BQ82" s="179">
        <v>0.551</v>
      </c>
      <c r="BR82" s="179">
        <v>1</v>
      </c>
      <c r="BS82" s="320">
        <v>1.65</v>
      </c>
    </row>
    <row r="83" spans="1:71" ht="12.75">
      <c r="A83" s="253" t="s">
        <v>341</v>
      </c>
      <c r="B83" s="288">
        <f t="shared" si="1"/>
        <v>4</v>
      </c>
      <c r="C83" s="101"/>
      <c r="D83" s="43" t="s">
        <v>789</v>
      </c>
      <c r="E83" s="14"/>
      <c r="F83" s="14"/>
      <c r="G83" s="14"/>
      <c r="H83" s="14"/>
      <c r="I83" s="14"/>
      <c r="J83" s="15"/>
      <c r="K83" s="21"/>
      <c r="L83" s="22"/>
      <c r="M83" s="3"/>
      <c r="N83" s="345"/>
      <c r="O83" s="96"/>
      <c r="P83" s="3"/>
      <c r="Q83" s="22"/>
      <c r="R83" s="22"/>
      <c r="S83" s="22"/>
      <c r="T83" s="24"/>
      <c r="U83" s="24"/>
      <c r="V83" s="24"/>
      <c r="W83" s="32"/>
      <c r="X83" s="32"/>
      <c r="Y83" s="88"/>
      <c r="Z83" s="32"/>
      <c r="AA83" s="32"/>
      <c r="AB83" s="32"/>
      <c r="AC83" s="32"/>
      <c r="AD83" s="32"/>
      <c r="AE83" s="32"/>
      <c r="AF83" s="135"/>
      <c r="AG83" s="135"/>
      <c r="AH83" s="135"/>
      <c r="AI83" s="327" t="s">
        <v>433</v>
      </c>
      <c r="AJ83" s="328">
        <v>29.5</v>
      </c>
      <c r="AK83" s="329">
        <v>0.47</v>
      </c>
      <c r="AL83" s="328">
        <v>10.4</v>
      </c>
      <c r="AM83" s="329">
        <v>0.61</v>
      </c>
      <c r="AN83" s="330">
        <v>1.26</v>
      </c>
      <c r="AO83" s="331">
        <v>245</v>
      </c>
      <c r="AP83" s="331">
        <v>283</v>
      </c>
      <c r="AQ83" s="13">
        <v>79</v>
      </c>
      <c r="AR83" s="318" t="s">
        <v>204</v>
      </c>
      <c r="AS83" s="319">
        <v>7.12</v>
      </c>
      <c r="AT83" s="179">
        <v>2.09</v>
      </c>
      <c r="AU83" s="179">
        <v>4</v>
      </c>
      <c r="AV83" s="179">
        <v>3</v>
      </c>
      <c r="AW83" s="179">
        <v>0.3125</v>
      </c>
      <c r="AX83" s="320">
        <v>0.6875</v>
      </c>
      <c r="AY83" s="318">
        <v>0.6875</v>
      </c>
      <c r="AZ83" s="319">
        <v>0.75</v>
      </c>
      <c r="BA83" s="179">
        <v>1.25</v>
      </c>
      <c r="BB83" s="179">
        <v>0.262</v>
      </c>
      <c r="BC83" s="179">
        <v>0.651</v>
      </c>
      <c r="BD83" s="179">
        <v>3.36</v>
      </c>
      <c r="BE83" s="320">
        <v>2.19</v>
      </c>
      <c r="BF83" s="318">
        <v>1.22</v>
      </c>
      <c r="BG83" s="319">
        <v>1.27</v>
      </c>
      <c r="BH83" s="179">
        <v>1.62</v>
      </c>
      <c r="BI83" s="179">
        <v>1.28</v>
      </c>
      <c r="BJ83" s="179">
        <v>0.721</v>
      </c>
      <c r="BK83" s="179">
        <v>0.88</v>
      </c>
      <c r="BL83" s="320">
        <v>0.638</v>
      </c>
      <c r="BM83" s="318">
        <v>0.0731</v>
      </c>
      <c r="BN83" s="319">
        <v>0.0676</v>
      </c>
      <c r="BO83" s="179">
        <v>1.98</v>
      </c>
      <c r="BP83" s="179">
        <v>0</v>
      </c>
      <c r="BQ83" s="179">
        <v>0.554</v>
      </c>
      <c r="BR83" s="179">
        <v>0.9972513022736579</v>
      </c>
      <c r="BS83" s="320">
        <v>1.65</v>
      </c>
    </row>
    <row r="84" spans="1:71" ht="12.75">
      <c r="A84" s="253" t="s">
        <v>791</v>
      </c>
      <c r="B84" s="259">
        <v>2</v>
      </c>
      <c r="C84" s="101"/>
      <c r="F84" s="14"/>
      <c r="G84" s="14"/>
      <c r="H84" s="14"/>
      <c r="I84" s="14"/>
      <c r="J84" s="15"/>
      <c r="K84" s="21"/>
      <c r="L84" s="22"/>
      <c r="M84" s="3"/>
      <c r="N84" s="345"/>
      <c r="O84" s="96"/>
      <c r="P84" s="3"/>
      <c r="Q84" s="22"/>
      <c r="R84" s="22"/>
      <c r="S84" s="22"/>
      <c r="T84" s="24"/>
      <c r="U84" s="24"/>
      <c r="V84" s="24"/>
      <c r="W84" s="32"/>
      <c r="X84" s="32"/>
      <c r="Y84" s="88"/>
      <c r="Z84" s="32"/>
      <c r="AA84" s="32"/>
      <c r="AB84" s="32"/>
      <c r="AC84" s="32"/>
      <c r="AD84" s="32"/>
      <c r="AE84" s="32"/>
      <c r="AF84" s="135"/>
      <c r="AG84" s="135"/>
      <c r="AH84" s="135"/>
      <c r="AI84" s="327" t="s">
        <v>434</v>
      </c>
      <c r="AJ84" s="328">
        <v>32.5</v>
      </c>
      <c r="AK84" s="330">
        <v>1.97</v>
      </c>
      <c r="AL84" s="328">
        <v>15.3</v>
      </c>
      <c r="AM84" s="330">
        <v>3.54</v>
      </c>
      <c r="AN84" s="330">
        <v>4.33</v>
      </c>
      <c r="AO84" s="331">
        <v>1570</v>
      </c>
      <c r="AP84" s="331">
        <v>1890</v>
      </c>
      <c r="AQ84" s="13">
        <v>80</v>
      </c>
      <c r="AR84" s="318" t="s">
        <v>205</v>
      </c>
      <c r="AS84" s="319">
        <v>5.75</v>
      </c>
      <c r="AT84" s="179">
        <v>1.69</v>
      </c>
      <c r="AU84" s="179">
        <v>4</v>
      </c>
      <c r="AV84" s="179">
        <v>3</v>
      </c>
      <c r="AW84" s="179">
        <v>0.25</v>
      </c>
      <c r="AX84" s="320">
        <v>0.625</v>
      </c>
      <c r="AY84" s="318">
        <v>0.625</v>
      </c>
      <c r="AZ84" s="319">
        <v>0.725</v>
      </c>
      <c r="BA84" s="179">
        <v>1.22</v>
      </c>
      <c r="BB84" s="179">
        <v>0.211</v>
      </c>
      <c r="BC84" s="179">
        <v>0.618</v>
      </c>
      <c r="BD84" s="179">
        <v>2.75</v>
      </c>
      <c r="BE84" s="320">
        <v>1.77</v>
      </c>
      <c r="BF84" s="318">
        <v>0.988</v>
      </c>
      <c r="BG84" s="319">
        <v>1.27</v>
      </c>
      <c r="BH84" s="179">
        <v>1.33</v>
      </c>
      <c r="BI84" s="179">
        <v>1.03</v>
      </c>
      <c r="BJ84" s="179">
        <v>0.585</v>
      </c>
      <c r="BK84" s="179">
        <v>0.887</v>
      </c>
      <c r="BL84" s="320">
        <v>0.639</v>
      </c>
      <c r="BM84" s="318">
        <v>0.0386</v>
      </c>
      <c r="BN84" s="319">
        <v>0.0356</v>
      </c>
      <c r="BO84" s="179">
        <v>1.99</v>
      </c>
      <c r="BP84" s="179">
        <v>0</v>
      </c>
      <c r="BQ84" s="179">
        <v>0.558</v>
      </c>
      <c r="BR84" s="179">
        <v>0.9115641278420724</v>
      </c>
      <c r="BS84" s="320">
        <v>1.65</v>
      </c>
    </row>
    <row r="85" spans="1:71" ht="12.75">
      <c r="A85" s="253" t="s">
        <v>340</v>
      </c>
      <c r="B85" s="133">
        <f>BE145</f>
        <v>34.285</v>
      </c>
      <c r="C85" s="14" t="s">
        <v>9</v>
      </c>
      <c r="D85" s="310" t="s">
        <v>790</v>
      </c>
      <c r="E85" s="14"/>
      <c r="F85" s="14"/>
      <c r="G85" s="14"/>
      <c r="H85" s="14"/>
      <c r="I85" s="14"/>
      <c r="J85" s="15"/>
      <c r="K85" s="21"/>
      <c r="L85" s="22"/>
      <c r="M85" s="3"/>
      <c r="N85" s="345"/>
      <c r="O85" s="96"/>
      <c r="P85" s="3"/>
      <c r="Q85" s="22"/>
      <c r="R85" s="22"/>
      <c r="S85" s="22"/>
      <c r="T85" s="24"/>
      <c r="U85" s="24"/>
      <c r="V85" s="24"/>
      <c r="W85" s="32"/>
      <c r="X85" s="32"/>
      <c r="Y85" s="88"/>
      <c r="Z85" s="32"/>
      <c r="AA85" s="32"/>
      <c r="AB85" s="32"/>
      <c r="AC85" s="32"/>
      <c r="AD85" s="32"/>
      <c r="AE85" s="32"/>
      <c r="AF85" s="135"/>
      <c r="AG85" s="135"/>
      <c r="AH85" s="135"/>
      <c r="AI85" s="327" t="s">
        <v>435</v>
      </c>
      <c r="AJ85" s="328">
        <v>30.4</v>
      </c>
      <c r="AK85" s="330">
        <v>1.38</v>
      </c>
      <c r="AL85" s="328">
        <v>14.7</v>
      </c>
      <c r="AM85" s="330">
        <v>2.48</v>
      </c>
      <c r="AN85" s="330">
        <v>3.27</v>
      </c>
      <c r="AO85" s="331">
        <v>1060</v>
      </c>
      <c r="AP85" s="331">
        <v>1240</v>
      </c>
      <c r="AQ85" s="13">
        <v>81</v>
      </c>
      <c r="AR85" s="318" t="s">
        <v>206</v>
      </c>
      <c r="AS85" s="319">
        <v>11.1</v>
      </c>
      <c r="AT85" s="179">
        <v>3.27</v>
      </c>
      <c r="AU85" s="179">
        <v>3.5</v>
      </c>
      <c r="AV85" s="179">
        <v>3.5</v>
      </c>
      <c r="AW85" s="179">
        <v>0.5</v>
      </c>
      <c r="AX85" s="320">
        <v>0.875</v>
      </c>
      <c r="AY85" s="318">
        <v>0.875</v>
      </c>
      <c r="AZ85" s="319">
        <v>1.05</v>
      </c>
      <c r="BA85" s="179">
        <v>1.05</v>
      </c>
      <c r="BB85" s="179">
        <v>0.466</v>
      </c>
      <c r="BC85" s="179">
        <v>0.466</v>
      </c>
      <c r="BD85" s="179">
        <v>3.63</v>
      </c>
      <c r="BE85" s="320">
        <v>2.66</v>
      </c>
      <c r="BF85" s="318">
        <v>1.48</v>
      </c>
      <c r="BG85" s="319">
        <v>1.05</v>
      </c>
      <c r="BH85" s="179">
        <v>3.63</v>
      </c>
      <c r="BI85" s="179">
        <v>2.66</v>
      </c>
      <c r="BJ85" s="179">
        <v>1.48</v>
      </c>
      <c r="BK85" s="179">
        <v>1.05</v>
      </c>
      <c r="BL85" s="320">
        <v>0.679</v>
      </c>
      <c r="BM85" s="318">
        <v>0.281</v>
      </c>
      <c r="BN85" s="319">
        <v>0.238</v>
      </c>
      <c r="BO85" s="179">
        <v>1.87</v>
      </c>
      <c r="BP85" s="179">
        <v>0.634</v>
      </c>
      <c r="BQ85" s="179">
        <v>1</v>
      </c>
      <c r="BR85" s="179">
        <v>1</v>
      </c>
      <c r="BS85" s="320">
        <v>0</v>
      </c>
    </row>
    <row r="86" spans="6:71" ht="12.75">
      <c r="F86" s="14"/>
      <c r="G86" s="14"/>
      <c r="H86" s="14"/>
      <c r="I86" s="14"/>
      <c r="J86" s="15"/>
      <c r="K86" s="21"/>
      <c r="L86" s="22"/>
      <c r="M86" s="3"/>
      <c r="N86" s="345"/>
      <c r="O86" s="96"/>
      <c r="P86" s="3"/>
      <c r="Q86" s="22"/>
      <c r="R86" s="22"/>
      <c r="S86" s="22"/>
      <c r="T86" s="24"/>
      <c r="U86" s="24"/>
      <c r="V86" s="24"/>
      <c r="W86" s="32"/>
      <c r="X86" s="32"/>
      <c r="Y86" s="88"/>
      <c r="Z86" s="32"/>
      <c r="AA86" s="32"/>
      <c r="AB86" s="32"/>
      <c r="AC86" s="32"/>
      <c r="AD86" s="32"/>
      <c r="AE86" s="32"/>
      <c r="AF86" s="135"/>
      <c r="AG86" s="135"/>
      <c r="AH86" s="135"/>
      <c r="AI86" s="327" t="s">
        <v>436</v>
      </c>
      <c r="AJ86" s="328">
        <v>30</v>
      </c>
      <c r="AK86" s="330">
        <v>1.26</v>
      </c>
      <c r="AL86" s="328">
        <v>14.6</v>
      </c>
      <c r="AM86" s="330">
        <v>2.28</v>
      </c>
      <c r="AN86" s="330">
        <v>3.07</v>
      </c>
      <c r="AO86" s="331">
        <v>972</v>
      </c>
      <c r="AP86" s="331">
        <v>1130</v>
      </c>
      <c r="AQ86" s="13">
        <v>82</v>
      </c>
      <c r="AR86" s="318" t="s">
        <v>207</v>
      </c>
      <c r="AS86" s="319">
        <v>9.82</v>
      </c>
      <c r="AT86" s="179">
        <v>2.89</v>
      </c>
      <c r="AU86" s="179">
        <v>3.5</v>
      </c>
      <c r="AV86" s="179">
        <v>3.5</v>
      </c>
      <c r="AW86" s="179">
        <v>0.4375</v>
      </c>
      <c r="AX86" s="320">
        <v>0.8125</v>
      </c>
      <c r="AY86" s="318">
        <v>0.8125</v>
      </c>
      <c r="AZ86" s="319">
        <v>1.03</v>
      </c>
      <c r="BA86" s="179">
        <v>1.03</v>
      </c>
      <c r="BB86" s="179">
        <v>0.412</v>
      </c>
      <c r="BC86" s="179">
        <v>0.412</v>
      </c>
      <c r="BD86" s="179">
        <v>3.25</v>
      </c>
      <c r="BE86" s="320">
        <v>2.36</v>
      </c>
      <c r="BF86" s="318">
        <v>1.32</v>
      </c>
      <c r="BG86" s="319">
        <v>1.06</v>
      </c>
      <c r="BH86" s="179">
        <v>3.25</v>
      </c>
      <c r="BI86" s="179">
        <v>2.36</v>
      </c>
      <c r="BJ86" s="179">
        <v>1.32</v>
      </c>
      <c r="BK86" s="179">
        <v>1.06</v>
      </c>
      <c r="BL86" s="320">
        <v>0.681</v>
      </c>
      <c r="BM86" s="318">
        <v>0.192</v>
      </c>
      <c r="BN86" s="319">
        <v>0.164</v>
      </c>
      <c r="BO86" s="179">
        <v>1.89</v>
      </c>
      <c r="BP86" s="179">
        <v>0.631</v>
      </c>
      <c r="BQ86" s="179">
        <v>1</v>
      </c>
      <c r="BR86" s="179">
        <v>1</v>
      </c>
      <c r="BS86" s="320">
        <v>0</v>
      </c>
    </row>
    <row r="87" spans="1:71" ht="12.75">
      <c r="A87" s="214" t="s">
        <v>343</v>
      </c>
      <c r="F87" s="14"/>
      <c r="G87" s="14"/>
      <c r="H87" s="14"/>
      <c r="I87" s="14"/>
      <c r="J87" s="15"/>
      <c r="K87" s="21"/>
      <c r="L87" s="22"/>
      <c r="M87" s="3"/>
      <c r="N87" s="345"/>
      <c r="O87" s="96"/>
      <c r="P87" s="3"/>
      <c r="Q87" s="22"/>
      <c r="R87" s="22"/>
      <c r="S87" s="22"/>
      <c r="T87" s="24"/>
      <c r="U87" s="24"/>
      <c r="V87" s="24"/>
      <c r="W87" s="32"/>
      <c r="X87" s="32"/>
      <c r="Y87" s="88"/>
      <c r="Z87" s="32"/>
      <c r="AA87" s="32"/>
      <c r="AB87" s="32"/>
      <c r="AC87" s="32"/>
      <c r="AD87" s="32"/>
      <c r="AE87" s="32"/>
      <c r="AF87" s="135"/>
      <c r="AG87" s="135"/>
      <c r="AH87" s="135"/>
      <c r="AI87" s="327" t="s">
        <v>437</v>
      </c>
      <c r="AJ87" s="328">
        <v>29.6</v>
      </c>
      <c r="AK87" s="330">
        <v>1.16</v>
      </c>
      <c r="AL87" s="328">
        <v>14.4</v>
      </c>
      <c r="AM87" s="330">
        <v>2.09</v>
      </c>
      <c r="AN87" s="330">
        <v>2.88</v>
      </c>
      <c r="AO87" s="331">
        <v>887</v>
      </c>
      <c r="AP87" s="331">
        <v>1030</v>
      </c>
      <c r="AQ87" s="13">
        <v>83</v>
      </c>
      <c r="AR87" s="318" t="s">
        <v>208</v>
      </c>
      <c r="AS87" s="319">
        <v>8.51</v>
      </c>
      <c r="AT87" s="179">
        <v>2.5</v>
      </c>
      <c r="AU87" s="179">
        <v>3.5</v>
      </c>
      <c r="AV87" s="179">
        <v>3.5</v>
      </c>
      <c r="AW87" s="179">
        <v>0.375</v>
      </c>
      <c r="AX87" s="320">
        <v>0.75</v>
      </c>
      <c r="AY87" s="318">
        <v>0.75</v>
      </c>
      <c r="AZ87" s="319">
        <v>1</v>
      </c>
      <c r="BA87" s="179">
        <v>1</v>
      </c>
      <c r="BB87" s="179">
        <v>0.357</v>
      </c>
      <c r="BC87" s="179">
        <v>0.357</v>
      </c>
      <c r="BD87" s="179">
        <v>2.86</v>
      </c>
      <c r="BE87" s="320">
        <v>2.06</v>
      </c>
      <c r="BF87" s="318">
        <v>1.15</v>
      </c>
      <c r="BG87" s="319">
        <v>1.07</v>
      </c>
      <c r="BH87" s="179">
        <v>2.86</v>
      </c>
      <c r="BI87" s="179">
        <v>2.05</v>
      </c>
      <c r="BJ87" s="179">
        <v>1.15</v>
      </c>
      <c r="BK87" s="179">
        <v>1.07</v>
      </c>
      <c r="BL87" s="320">
        <v>0.683</v>
      </c>
      <c r="BM87" s="318">
        <v>0.123</v>
      </c>
      <c r="BN87" s="319">
        <v>0.106</v>
      </c>
      <c r="BO87" s="179">
        <v>1.9</v>
      </c>
      <c r="BP87" s="179">
        <v>0.634</v>
      </c>
      <c r="BQ87" s="179">
        <v>1</v>
      </c>
      <c r="BR87" s="179">
        <v>1</v>
      </c>
      <c r="BS87" s="320">
        <v>0</v>
      </c>
    </row>
    <row r="88" spans="1:71" ht="12.75">
      <c r="A88" s="380"/>
      <c r="B88" s="220"/>
      <c r="C88" s="220"/>
      <c r="D88" s="220"/>
      <c r="E88" s="220"/>
      <c r="F88" s="220"/>
      <c r="G88" s="220"/>
      <c r="H88" s="220"/>
      <c r="I88" s="220"/>
      <c r="J88" s="384"/>
      <c r="K88" s="21"/>
      <c r="L88" s="22"/>
      <c r="M88" s="3"/>
      <c r="N88" s="345"/>
      <c r="O88" s="96"/>
      <c r="P88" s="3"/>
      <c r="Q88" s="22"/>
      <c r="R88" s="22"/>
      <c r="S88" s="22"/>
      <c r="T88" s="24"/>
      <c r="U88" s="24"/>
      <c r="V88" s="24"/>
      <c r="W88" s="87"/>
      <c r="X88" s="12"/>
      <c r="Y88" s="79"/>
      <c r="Z88" s="79"/>
      <c r="AA88" s="32"/>
      <c r="AB88" s="32"/>
      <c r="AC88" s="32"/>
      <c r="AD88" s="32"/>
      <c r="AE88" s="32"/>
      <c r="AF88" s="135"/>
      <c r="AG88" s="135"/>
      <c r="AH88" s="135"/>
      <c r="AI88" s="327" t="s">
        <v>438</v>
      </c>
      <c r="AJ88" s="328">
        <v>29.3</v>
      </c>
      <c r="AK88" s="330">
        <v>1.06</v>
      </c>
      <c r="AL88" s="328">
        <v>14.4</v>
      </c>
      <c r="AM88" s="330">
        <v>1.93</v>
      </c>
      <c r="AN88" s="330">
        <v>2.72</v>
      </c>
      <c r="AO88" s="331">
        <v>814</v>
      </c>
      <c r="AP88" s="331">
        <v>936</v>
      </c>
      <c r="AQ88" s="13">
        <v>84</v>
      </c>
      <c r="AR88" s="318" t="s">
        <v>209</v>
      </c>
      <c r="AS88" s="319">
        <v>7.16</v>
      </c>
      <c r="AT88" s="179">
        <v>2.1</v>
      </c>
      <c r="AU88" s="179">
        <v>3.5</v>
      </c>
      <c r="AV88" s="179">
        <v>3.5</v>
      </c>
      <c r="AW88" s="179">
        <v>0.3125</v>
      </c>
      <c r="AX88" s="320">
        <v>0.6875</v>
      </c>
      <c r="AY88" s="318">
        <v>0.6875</v>
      </c>
      <c r="AZ88" s="319">
        <v>0.979</v>
      </c>
      <c r="BA88" s="179">
        <v>0.979</v>
      </c>
      <c r="BB88" s="179">
        <v>0.301</v>
      </c>
      <c r="BC88" s="179">
        <v>0.301</v>
      </c>
      <c r="BD88" s="179">
        <v>2.44</v>
      </c>
      <c r="BE88" s="320">
        <v>1.74</v>
      </c>
      <c r="BF88" s="318">
        <v>0.969</v>
      </c>
      <c r="BG88" s="319">
        <v>1.08</v>
      </c>
      <c r="BH88" s="179">
        <v>2.44</v>
      </c>
      <c r="BI88" s="179">
        <v>1.74</v>
      </c>
      <c r="BJ88" s="179">
        <v>0.969</v>
      </c>
      <c r="BK88" s="179">
        <v>1.08</v>
      </c>
      <c r="BL88" s="320">
        <v>0.685</v>
      </c>
      <c r="BM88" s="318">
        <v>0.0731</v>
      </c>
      <c r="BN88" s="319">
        <v>0.0634</v>
      </c>
      <c r="BO88" s="179">
        <v>1.92</v>
      </c>
      <c r="BP88" s="179">
        <v>0.632</v>
      </c>
      <c r="BQ88" s="179">
        <v>1</v>
      </c>
      <c r="BR88" s="179">
        <v>1</v>
      </c>
      <c r="BS88" s="320">
        <v>0</v>
      </c>
    </row>
    <row r="89" spans="1:71" ht="12.75">
      <c r="A89" s="381"/>
      <c r="B89" s="220"/>
      <c r="C89" s="220"/>
      <c r="D89" s="220"/>
      <c r="E89" s="220"/>
      <c r="F89" s="220"/>
      <c r="G89" s="220"/>
      <c r="H89" s="220"/>
      <c r="I89" s="220"/>
      <c r="J89" s="384"/>
      <c r="K89" s="21"/>
      <c r="L89" s="22"/>
      <c r="M89" s="3"/>
      <c r="N89" s="345"/>
      <c r="O89" s="96"/>
      <c r="P89" s="3"/>
      <c r="Q89" s="22"/>
      <c r="R89" s="22"/>
      <c r="S89" s="22"/>
      <c r="T89" s="24"/>
      <c r="U89" s="24"/>
      <c r="V89" s="24"/>
      <c r="W89" s="90"/>
      <c r="X89" s="12"/>
      <c r="Y89" s="32"/>
      <c r="Z89" s="78"/>
      <c r="AA89" s="32"/>
      <c r="AB89" s="32"/>
      <c r="AC89" s="32"/>
      <c r="AD89" s="32"/>
      <c r="AE89" s="32"/>
      <c r="AF89" s="135"/>
      <c r="AG89" s="135"/>
      <c r="AH89" s="135"/>
      <c r="AI89" s="327" t="s">
        <v>439</v>
      </c>
      <c r="AJ89" s="328">
        <v>29</v>
      </c>
      <c r="AK89" s="329">
        <v>0.98</v>
      </c>
      <c r="AL89" s="328">
        <v>14.3</v>
      </c>
      <c r="AM89" s="330">
        <v>1.77</v>
      </c>
      <c r="AN89" s="330">
        <v>2.56</v>
      </c>
      <c r="AO89" s="331">
        <v>745</v>
      </c>
      <c r="AP89" s="331">
        <v>852</v>
      </c>
      <c r="AQ89" s="13">
        <v>85</v>
      </c>
      <c r="AR89" s="318" t="s">
        <v>210</v>
      </c>
      <c r="AS89" s="319">
        <v>5.79</v>
      </c>
      <c r="AT89" s="179">
        <v>1.7</v>
      </c>
      <c r="AU89" s="179">
        <v>3.5</v>
      </c>
      <c r="AV89" s="179">
        <v>3.5</v>
      </c>
      <c r="AW89" s="179">
        <v>0.25</v>
      </c>
      <c r="AX89" s="320">
        <v>0.625</v>
      </c>
      <c r="AY89" s="318">
        <v>0.625</v>
      </c>
      <c r="AZ89" s="319">
        <v>0.954</v>
      </c>
      <c r="BA89" s="179">
        <v>0.954</v>
      </c>
      <c r="BB89" s="179">
        <v>0.243</v>
      </c>
      <c r="BC89" s="179">
        <v>0.243</v>
      </c>
      <c r="BD89" s="179">
        <v>2</v>
      </c>
      <c r="BE89" s="320">
        <v>1.41</v>
      </c>
      <c r="BF89" s="318">
        <v>0.787</v>
      </c>
      <c r="BG89" s="319">
        <v>1.09</v>
      </c>
      <c r="BH89" s="179">
        <v>2</v>
      </c>
      <c r="BI89" s="179">
        <v>1.41</v>
      </c>
      <c r="BJ89" s="179">
        <v>0.787</v>
      </c>
      <c r="BK89" s="179">
        <v>1.09</v>
      </c>
      <c r="BL89" s="320">
        <v>0.688</v>
      </c>
      <c r="BM89" s="318">
        <v>0.0386</v>
      </c>
      <c r="BN89" s="319">
        <v>0.0334</v>
      </c>
      <c r="BO89" s="179">
        <v>1.93</v>
      </c>
      <c r="BP89" s="179">
        <v>0.632</v>
      </c>
      <c r="BQ89" s="179">
        <v>1</v>
      </c>
      <c r="BR89" s="179">
        <v>0.9651186118618134</v>
      </c>
      <c r="BS89" s="320">
        <v>0</v>
      </c>
    </row>
    <row r="90" spans="1:71" ht="12.75">
      <c r="A90" s="381"/>
      <c r="B90" s="220"/>
      <c r="C90" s="220"/>
      <c r="D90" s="220"/>
      <c r="E90" s="220"/>
      <c r="F90" s="220"/>
      <c r="G90" s="220"/>
      <c r="H90" s="220"/>
      <c r="I90" s="220"/>
      <c r="J90" s="384"/>
      <c r="K90" s="21"/>
      <c r="L90" s="22"/>
      <c r="M90" s="3"/>
      <c r="N90" s="345"/>
      <c r="O90" s="96"/>
      <c r="P90" s="3"/>
      <c r="Q90" s="22"/>
      <c r="R90" s="22"/>
      <c r="S90" s="22"/>
      <c r="T90" s="24"/>
      <c r="U90" s="24"/>
      <c r="V90" s="24"/>
      <c r="W90" s="87"/>
      <c r="X90" s="12"/>
      <c r="Y90" s="79"/>
      <c r="Z90" s="79"/>
      <c r="AA90" s="32"/>
      <c r="AB90" s="32"/>
      <c r="AC90" s="32"/>
      <c r="AD90" s="32"/>
      <c r="AE90" s="32"/>
      <c r="AF90" s="135"/>
      <c r="AG90" s="135"/>
      <c r="AH90" s="135"/>
      <c r="AI90" s="327" t="s">
        <v>440</v>
      </c>
      <c r="AJ90" s="328">
        <v>28.7</v>
      </c>
      <c r="AK90" s="329">
        <v>0.91</v>
      </c>
      <c r="AL90" s="328">
        <v>14.2</v>
      </c>
      <c r="AM90" s="330">
        <v>1.61</v>
      </c>
      <c r="AN90" s="330">
        <v>2.4</v>
      </c>
      <c r="AO90" s="331">
        <v>677</v>
      </c>
      <c r="AP90" s="331">
        <v>772</v>
      </c>
      <c r="AQ90" s="13">
        <v>86</v>
      </c>
      <c r="AR90" s="318" t="s">
        <v>211</v>
      </c>
      <c r="AS90" s="319">
        <v>10.3</v>
      </c>
      <c r="AT90" s="179">
        <v>3.02</v>
      </c>
      <c r="AU90" s="179">
        <v>3.5</v>
      </c>
      <c r="AV90" s="179">
        <v>3</v>
      </c>
      <c r="AW90" s="179">
        <v>0.5</v>
      </c>
      <c r="AX90" s="320">
        <v>0.875</v>
      </c>
      <c r="AY90" s="318">
        <v>0.875</v>
      </c>
      <c r="AZ90" s="319">
        <v>0.869</v>
      </c>
      <c r="BA90" s="179">
        <v>1.12</v>
      </c>
      <c r="BB90" s="179">
        <v>0.431</v>
      </c>
      <c r="BC90" s="179">
        <v>0.48</v>
      </c>
      <c r="BD90" s="179">
        <v>3.45</v>
      </c>
      <c r="BE90" s="320">
        <v>2.61</v>
      </c>
      <c r="BF90" s="318">
        <v>1.45</v>
      </c>
      <c r="BG90" s="319">
        <v>1.07</v>
      </c>
      <c r="BH90" s="179">
        <v>2.32</v>
      </c>
      <c r="BI90" s="179">
        <v>1.97</v>
      </c>
      <c r="BJ90" s="179">
        <v>1.09</v>
      </c>
      <c r="BK90" s="179">
        <v>0.877</v>
      </c>
      <c r="BL90" s="320">
        <v>0.618</v>
      </c>
      <c r="BM90" s="318">
        <v>0.26</v>
      </c>
      <c r="BN90" s="319">
        <v>0.191</v>
      </c>
      <c r="BO90" s="179">
        <v>1.75</v>
      </c>
      <c r="BP90" s="179">
        <v>0</v>
      </c>
      <c r="BQ90" s="179">
        <v>0.713</v>
      </c>
      <c r="BR90" s="179">
        <v>1</v>
      </c>
      <c r="BS90" s="320">
        <v>0.87</v>
      </c>
    </row>
    <row r="91" spans="1:71" ht="12.75">
      <c r="A91" s="381"/>
      <c r="B91" s="220"/>
      <c r="C91" s="220"/>
      <c r="D91" s="220"/>
      <c r="E91" s="220"/>
      <c r="F91" s="220"/>
      <c r="G91" s="220"/>
      <c r="H91" s="220"/>
      <c r="I91" s="220"/>
      <c r="J91" s="384"/>
      <c r="K91" s="21"/>
      <c r="L91" s="22"/>
      <c r="M91" s="3"/>
      <c r="N91" s="345"/>
      <c r="O91" s="96"/>
      <c r="P91" s="3"/>
      <c r="Q91" s="22"/>
      <c r="R91" s="22"/>
      <c r="S91" s="22"/>
      <c r="T91" s="24"/>
      <c r="U91" s="24"/>
      <c r="V91" s="24"/>
      <c r="W91" s="90"/>
      <c r="X91" s="12"/>
      <c r="Y91" s="32"/>
      <c r="Z91" s="78"/>
      <c r="AA91" s="32"/>
      <c r="AB91" s="32"/>
      <c r="AC91" s="32"/>
      <c r="AD91" s="32"/>
      <c r="AE91" s="32"/>
      <c r="AF91" s="135"/>
      <c r="AG91" s="135"/>
      <c r="AH91" s="135"/>
      <c r="AI91" s="327" t="s">
        <v>441</v>
      </c>
      <c r="AJ91" s="328">
        <v>28.4</v>
      </c>
      <c r="AK91" s="329">
        <v>0.83</v>
      </c>
      <c r="AL91" s="328">
        <v>14.1</v>
      </c>
      <c r="AM91" s="330">
        <v>1.5</v>
      </c>
      <c r="AN91" s="330">
        <v>2.29</v>
      </c>
      <c r="AO91" s="331">
        <v>627</v>
      </c>
      <c r="AP91" s="331">
        <v>711</v>
      </c>
      <c r="AQ91" s="13">
        <v>87</v>
      </c>
      <c r="AR91" s="318" t="s">
        <v>212</v>
      </c>
      <c r="AS91" s="319">
        <v>9.09</v>
      </c>
      <c r="AT91" s="179">
        <v>2.67</v>
      </c>
      <c r="AU91" s="179">
        <v>3.5</v>
      </c>
      <c r="AV91" s="179">
        <v>3</v>
      </c>
      <c r="AW91" s="179">
        <v>0.4375</v>
      </c>
      <c r="AX91" s="320">
        <v>0.8125</v>
      </c>
      <c r="AY91" s="318">
        <v>0.8125</v>
      </c>
      <c r="AZ91" s="319">
        <v>0.846</v>
      </c>
      <c r="BA91" s="179">
        <v>1.09</v>
      </c>
      <c r="BB91" s="179">
        <v>0.382</v>
      </c>
      <c r="BC91" s="179">
        <v>0.446</v>
      </c>
      <c r="BD91" s="179">
        <v>3.1</v>
      </c>
      <c r="BE91" s="320">
        <v>2.32</v>
      </c>
      <c r="BF91" s="318">
        <v>1.29</v>
      </c>
      <c r="BG91" s="319">
        <v>1.08</v>
      </c>
      <c r="BH91" s="179">
        <v>2.09</v>
      </c>
      <c r="BI91" s="179">
        <v>1.75</v>
      </c>
      <c r="BJ91" s="179">
        <v>0.971</v>
      </c>
      <c r="BK91" s="179">
        <v>0.885</v>
      </c>
      <c r="BL91" s="320">
        <v>0.62</v>
      </c>
      <c r="BM91" s="318">
        <v>0.178</v>
      </c>
      <c r="BN91" s="319">
        <v>0.132</v>
      </c>
      <c r="BO91" s="179">
        <v>1.76</v>
      </c>
      <c r="BP91" s="179">
        <v>0</v>
      </c>
      <c r="BQ91" s="179">
        <v>0.717</v>
      </c>
      <c r="BR91" s="179">
        <v>1</v>
      </c>
      <c r="BS91" s="320">
        <v>0.87</v>
      </c>
    </row>
    <row r="92" spans="1:71" ht="12.75">
      <c r="A92" s="381"/>
      <c r="B92" s="220"/>
      <c r="C92" s="220"/>
      <c r="D92" s="220"/>
      <c r="E92" s="220"/>
      <c r="F92" s="220"/>
      <c r="G92" s="220"/>
      <c r="H92" s="220"/>
      <c r="I92" s="220"/>
      <c r="J92" s="384"/>
      <c r="K92" s="21"/>
      <c r="L92" s="22"/>
      <c r="M92" s="3"/>
      <c r="N92" s="345"/>
      <c r="O92" s="96"/>
      <c r="P92" s="3"/>
      <c r="Q92" s="22"/>
      <c r="R92" s="22"/>
      <c r="S92" s="22"/>
      <c r="T92" s="24"/>
      <c r="U92" s="24"/>
      <c r="V92" s="24"/>
      <c r="W92" s="90"/>
      <c r="X92" s="6"/>
      <c r="Y92" s="32"/>
      <c r="Z92" s="78"/>
      <c r="AA92" s="32"/>
      <c r="AB92" s="32"/>
      <c r="AC92" s="32"/>
      <c r="AD92" s="32"/>
      <c r="AE92" s="32"/>
      <c r="AF92" s="135"/>
      <c r="AG92" s="135"/>
      <c r="AH92" s="135"/>
      <c r="AI92" s="327" t="s">
        <v>442</v>
      </c>
      <c r="AJ92" s="328">
        <v>28.1</v>
      </c>
      <c r="AK92" s="329">
        <v>0.75</v>
      </c>
      <c r="AL92" s="328">
        <v>14</v>
      </c>
      <c r="AM92" s="330">
        <v>1.34</v>
      </c>
      <c r="AN92" s="330">
        <v>2.13</v>
      </c>
      <c r="AO92" s="331">
        <v>559</v>
      </c>
      <c r="AP92" s="331">
        <v>631</v>
      </c>
      <c r="AQ92" s="13">
        <v>88</v>
      </c>
      <c r="AR92" s="318" t="s">
        <v>213</v>
      </c>
      <c r="AS92" s="319">
        <v>7.88</v>
      </c>
      <c r="AT92" s="179">
        <v>2.32</v>
      </c>
      <c r="AU92" s="179">
        <v>3.5</v>
      </c>
      <c r="AV92" s="179">
        <v>3</v>
      </c>
      <c r="AW92" s="179">
        <v>0.375</v>
      </c>
      <c r="AX92" s="320">
        <v>0.75</v>
      </c>
      <c r="AY92" s="318">
        <v>0.75</v>
      </c>
      <c r="AZ92" s="319">
        <v>0.823</v>
      </c>
      <c r="BA92" s="179">
        <v>1.07</v>
      </c>
      <c r="BB92" s="179">
        <v>0.331</v>
      </c>
      <c r="BC92" s="179">
        <v>0.411</v>
      </c>
      <c r="BD92" s="179">
        <v>2.73</v>
      </c>
      <c r="BE92" s="320">
        <v>2.03</v>
      </c>
      <c r="BF92" s="318">
        <v>1.12</v>
      </c>
      <c r="BG92" s="319">
        <v>1.09</v>
      </c>
      <c r="BH92" s="179">
        <v>1.84</v>
      </c>
      <c r="BI92" s="179">
        <v>1.52</v>
      </c>
      <c r="BJ92" s="179">
        <v>0.847</v>
      </c>
      <c r="BK92" s="179">
        <v>0.892</v>
      </c>
      <c r="BL92" s="320">
        <v>0.622</v>
      </c>
      <c r="BM92" s="318">
        <v>0.114</v>
      </c>
      <c r="BN92" s="319">
        <v>0.0858</v>
      </c>
      <c r="BO92" s="179">
        <v>1.78</v>
      </c>
      <c r="BP92" s="179">
        <v>0</v>
      </c>
      <c r="BQ92" s="179">
        <v>0.72</v>
      </c>
      <c r="BR92" s="179">
        <v>1</v>
      </c>
      <c r="BS92" s="320">
        <v>0.87</v>
      </c>
    </row>
    <row r="93" spans="1:71" ht="12.75">
      <c r="A93" s="381"/>
      <c r="B93" s="220"/>
      <c r="C93" s="220"/>
      <c r="D93" s="220"/>
      <c r="E93" s="220"/>
      <c r="F93" s="220"/>
      <c r="G93" s="220"/>
      <c r="H93" s="220"/>
      <c r="I93" s="220"/>
      <c r="J93" s="384"/>
      <c r="K93" s="21"/>
      <c r="L93" s="22"/>
      <c r="M93" s="3"/>
      <c r="N93" s="345"/>
      <c r="O93" s="96"/>
      <c r="P93" s="3"/>
      <c r="Q93" s="22"/>
      <c r="R93" s="22"/>
      <c r="S93" s="22"/>
      <c r="T93" s="24"/>
      <c r="U93" s="24"/>
      <c r="V93" s="24"/>
      <c r="W93" s="90"/>
      <c r="X93" s="12"/>
      <c r="Y93" s="32"/>
      <c r="Z93" s="41"/>
      <c r="AA93" s="32"/>
      <c r="AB93" s="32"/>
      <c r="AC93" s="32"/>
      <c r="AD93" s="32"/>
      <c r="AE93" s="32"/>
      <c r="AF93" s="135"/>
      <c r="AG93" s="135"/>
      <c r="AH93" s="135"/>
      <c r="AI93" s="327" t="s">
        <v>443</v>
      </c>
      <c r="AJ93" s="328">
        <v>27.8</v>
      </c>
      <c r="AK93" s="329">
        <v>0.725</v>
      </c>
      <c r="AL93" s="328">
        <v>14.1</v>
      </c>
      <c r="AM93" s="330">
        <v>1.19</v>
      </c>
      <c r="AN93" s="330">
        <v>1.98</v>
      </c>
      <c r="AO93" s="331">
        <v>505</v>
      </c>
      <c r="AP93" s="331">
        <v>570</v>
      </c>
      <c r="AQ93" s="13">
        <v>89</v>
      </c>
      <c r="AR93" s="318" t="s">
        <v>214</v>
      </c>
      <c r="AS93" s="319">
        <v>6.65</v>
      </c>
      <c r="AT93" s="179">
        <v>1.95</v>
      </c>
      <c r="AU93" s="179">
        <v>3.5</v>
      </c>
      <c r="AV93" s="179">
        <v>3</v>
      </c>
      <c r="AW93" s="179">
        <v>0.3125</v>
      </c>
      <c r="AX93" s="320">
        <v>0.6875</v>
      </c>
      <c r="AY93" s="318">
        <v>0.6875</v>
      </c>
      <c r="AZ93" s="319">
        <v>0.798</v>
      </c>
      <c r="BA93" s="179">
        <v>1.05</v>
      </c>
      <c r="BB93" s="179">
        <v>0.279</v>
      </c>
      <c r="BC93" s="179">
        <v>0.375</v>
      </c>
      <c r="BD93" s="179">
        <v>2.33</v>
      </c>
      <c r="BE93" s="320">
        <v>1.72</v>
      </c>
      <c r="BF93" s="318">
        <v>0.951</v>
      </c>
      <c r="BG93" s="319">
        <v>1.09</v>
      </c>
      <c r="BH93" s="179">
        <v>1.58</v>
      </c>
      <c r="BI93" s="179">
        <v>1.28</v>
      </c>
      <c r="BJ93" s="179">
        <v>0.718</v>
      </c>
      <c r="BK93" s="179">
        <v>0.9</v>
      </c>
      <c r="BL93" s="320">
        <v>0.624</v>
      </c>
      <c r="BM93" s="318">
        <v>0.068</v>
      </c>
      <c r="BN93" s="319">
        <v>0.0512</v>
      </c>
      <c r="BO93" s="179">
        <v>1.79</v>
      </c>
      <c r="BP93" s="179">
        <v>0</v>
      </c>
      <c r="BQ93" s="179">
        <v>0.722</v>
      </c>
      <c r="BR93" s="179">
        <v>1</v>
      </c>
      <c r="BS93" s="320">
        <v>0.87</v>
      </c>
    </row>
    <row r="94" spans="1:71" ht="12.75">
      <c r="A94" s="381"/>
      <c r="B94" s="220"/>
      <c r="C94" s="220"/>
      <c r="D94" s="220"/>
      <c r="E94" s="220"/>
      <c r="F94" s="220"/>
      <c r="G94" s="220"/>
      <c r="H94" s="220"/>
      <c r="I94" s="220"/>
      <c r="J94" s="384"/>
      <c r="K94" s="21"/>
      <c r="L94" s="22"/>
      <c r="M94" s="3"/>
      <c r="N94" s="345"/>
      <c r="O94" s="96"/>
      <c r="P94" s="3"/>
      <c r="Q94" s="22"/>
      <c r="R94" s="22"/>
      <c r="S94" s="22"/>
      <c r="T94" s="24"/>
      <c r="U94" s="24"/>
      <c r="V94" s="24"/>
      <c r="W94" s="87"/>
      <c r="X94" s="10"/>
      <c r="Y94" s="79"/>
      <c r="Z94" s="79"/>
      <c r="AA94" s="32"/>
      <c r="AB94" s="32"/>
      <c r="AC94" s="32"/>
      <c r="AD94" s="32"/>
      <c r="AE94" s="32"/>
      <c r="AF94" s="135"/>
      <c r="AG94" s="135"/>
      <c r="AH94" s="135"/>
      <c r="AI94" s="327" t="s">
        <v>444</v>
      </c>
      <c r="AJ94" s="328">
        <v>27.6</v>
      </c>
      <c r="AK94" s="329">
        <v>0.66</v>
      </c>
      <c r="AL94" s="328">
        <v>14</v>
      </c>
      <c r="AM94" s="330">
        <v>1.08</v>
      </c>
      <c r="AN94" s="330">
        <v>1.87</v>
      </c>
      <c r="AO94" s="331">
        <v>458</v>
      </c>
      <c r="AP94" s="331">
        <v>515</v>
      </c>
      <c r="AQ94" s="13">
        <v>90</v>
      </c>
      <c r="AR94" s="318" t="s">
        <v>215</v>
      </c>
      <c r="AS94" s="319">
        <v>5.38</v>
      </c>
      <c r="AT94" s="179">
        <v>1.58</v>
      </c>
      <c r="AU94" s="179">
        <v>3.5</v>
      </c>
      <c r="AV94" s="179">
        <v>3</v>
      </c>
      <c r="AW94" s="179">
        <v>0.25</v>
      </c>
      <c r="AX94" s="320">
        <v>0.625</v>
      </c>
      <c r="AY94" s="318">
        <v>0.625</v>
      </c>
      <c r="AZ94" s="319">
        <v>0.773</v>
      </c>
      <c r="BA94" s="179">
        <v>1.02</v>
      </c>
      <c r="BB94" s="179">
        <v>0.226</v>
      </c>
      <c r="BC94" s="179">
        <v>0.336</v>
      </c>
      <c r="BD94" s="179">
        <v>1.92</v>
      </c>
      <c r="BE94" s="320">
        <v>1.39</v>
      </c>
      <c r="BF94" s="318">
        <v>0.773</v>
      </c>
      <c r="BG94" s="319">
        <v>1.1</v>
      </c>
      <c r="BH94" s="179">
        <v>1.3</v>
      </c>
      <c r="BI94" s="179">
        <v>1.04</v>
      </c>
      <c r="BJ94" s="179">
        <v>0.585</v>
      </c>
      <c r="BK94" s="179">
        <v>0.908</v>
      </c>
      <c r="BL94" s="320">
        <v>0.628</v>
      </c>
      <c r="BM94" s="318">
        <v>0.036</v>
      </c>
      <c r="BN94" s="319">
        <v>0.027</v>
      </c>
      <c r="BO94" s="179">
        <v>1.81</v>
      </c>
      <c r="BP94" s="179">
        <v>0</v>
      </c>
      <c r="BQ94" s="179">
        <v>0.725</v>
      </c>
      <c r="BR94" s="179">
        <v>0.9651186118618134</v>
      </c>
      <c r="BS94" s="320">
        <v>0.87</v>
      </c>
    </row>
    <row r="95" spans="1:71" ht="12.75">
      <c r="A95" s="381"/>
      <c r="B95" s="220"/>
      <c r="C95" s="220"/>
      <c r="D95" s="220"/>
      <c r="E95" s="220"/>
      <c r="F95" s="220"/>
      <c r="G95" s="220"/>
      <c r="H95" s="220"/>
      <c r="I95" s="220"/>
      <c r="J95" s="384"/>
      <c r="K95" s="21"/>
      <c r="L95" s="22"/>
      <c r="M95" s="3"/>
      <c r="N95" s="345"/>
      <c r="O95" s="96"/>
      <c r="P95" s="3"/>
      <c r="Q95" s="22"/>
      <c r="R95" s="22"/>
      <c r="S95" s="22"/>
      <c r="T95" s="24"/>
      <c r="U95" s="24"/>
      <c r="V95" s="24"/>
      <c r="W95" s="87"/>
      <c r="X95" s="10"/>
      <c r="Y95" s="79"/>
      <c r="Z95" s="79"/>
      <c r="AA95" s="32"/>
      <c r="AB95" s="32"/>
      <c r="AC95" s="32"/>
      <c r="AD95" s="32"/>
      <c r="AE95" s="32"/>
      <c r="AF95" s="135"/>
      <c r="AG95" s="135"/>
      <c r="AH95" s="135"/>
      <c r="AI95" s="327" t="s">
        <v>445</v>
      </c>
      <c r="AJ95" s="328">
        <v>27.4</v>
      </c>
      <c r="AK95" s="329">
        <v>0.605</v>
      </c>
      <c r="AL95" s="328">
        <v>14</v>
      </c>
      <c r="AM95" s="329">
        <v>0.975</v>
      </c>
      <c r="AN95" s="330">
        <v>1.76</v>
      </c>
      <c r="AO95" s="331">
        <v>414</v>
      </c>
      <c r="AP95" s="331">
        <v>464</v>
      </c>
      <c r="AQ95" s="13">
        <v>91</v>
      </c>
      <c r="AR95" s="318" t="s">
        <v>216</v>
      </c>
      <c r="AS95" s="319">
        <v>9.41</v>
      </c>
      <c r="AT95" s="179">
        <v>2.76</v>
      </c>
      <c r="AU95" s="179">
        <v>3.5</v>
      </c>
      <c r="AV95" s="179">
        <v>2.5</v>
      </c>
      <c r="AW95" s="179">
        <v>0.5</v>
      </c>
      <c r="AX95" s="320">
        <v>0.875</v>
      </c>
      <c r="AY95" s="318">
        <v>0.875</v>
      </c>
      <c r="AZ95" s="319">
        <v>0.701</v>
      </c>
      <c r="BA95" s="179">
        <v>1.2</v>
      </c>
      <c r="BB95" s="179">
        <v>0.395</v>
      </c>
      <c r="BC95" s="179">
        <v>0.736</v>
      </c>
      <c r="BD95" s="179">
        <v>3.24</v>
      </c>
      <c r="BE95" s="320">
        <v>2.52</v>
      </c>
      <c r="BF95" s="318">
        <v>1.41</v>
      </c>
      <c r="BG95" s="319">
        <v>1.08</v>
      </c>
      <c r="BH95" s="179">
        <v>1.36</v>
      </c>
      <c r="BI95" s="179">
        <v>1.39</v>
      </c>
      <c r="BJ95" s="179">
        <v>0.756</v>
      </c>
      <c r="BK95" s="179">
        <v>0.701</v>
      </c>
      <c r="BL95" s="320">
        <v>0.532</v>
      </c>
      <c r="BM95" s="318">
        <v>0.234</v>
      </c>
      <c r="BN95" s="319">
        <v>0.159</v>
      </c>
      <c r="BO95" s="179">
        <v>1.67</v>
      </c>
      <c r="BP95" s="179">
        <v>0</v>
      </c>
      <c r="BQ95" s="179">
        <v>0.485</v>
      </c>
      <c r="BR95" s="179">
        <v>1</v>
      </c>
      <c r="BS95" s="320">
        <v>1.62</v>
      </c>
    </row>
    <row r="96" spans="1:71" ht="12.75">
      <c r="A96" s="381"/>
      <c r="B96" s="220"/>
      <c r="C96" s="220"/>
      <c r="D96" s="220"/>
      <c r="E96" s="220"/>
      <c r="F96" s="220"/>
      <c r="G96" s="220"/>
      <c r="H96" s="220"/>
      <c r="I96" s="220"/>
      <c r="J96" s="384"/>
      <c r="K96" s="21"/>
      <c r="L96" s="22"/>
      <c r="M96" s="3"/>
      <c r="N96" s="345"/>
      <c r="O96" s="96"/>
      <c r="P96" s="3"/>
      <c r="Q96" s="22"/>
      <c r="R96" s="22"/>
      <c r="S96" s="22"/>
      <c r="T96" s="24"/>
      <c r="U96" s="24"/>
      <c r="V96" s="24"/>
      <c r="W96" s="90"/>
      <c r="X96" s="12"/>
      <c r="Y96" s="32"/>
      <c r="Z96" s="78"/>
      <c r="AA96" s="32"/>
      <c r="AB96" s="32"/>
      <c r="AC96" s="32"/>
      <c r="AD96" s="32"/>
      <c r="AE96" s="32"/>
      <c r="AF96" s="135"/>
      <c r="AG96" s="135"/>
      <c r="AH96" s="135"/>
      <c r="AI96" s="327" t="s">
        <v>446</v>
      </c>
      <c r="AJ96" s="328">
        <v>27.6</v>
      </c>
      <c r="AK96" s="329">
        <v>0.61</v>
      </c>
      <c r="AL96" s="328">
        <v>10</v>
      </c>
      <c r="AM96" s="330">
        <v>1.1</v>
      </c>
      <c r="AN96" s="330">
        <v>1.7</v>
      </c>
      <c r="AO96" s="331">
        <v>345</v>
      </c>
      <c r="AP96" s="331">
        <v>395</v>
      </c>
      <c r="AQ96" s="13">
        <v>92</v>
      </c>
      <c r="AR96" s="318" t="s">
        <v>217</v>
      </c>
      <c r="AS96" s="319">
        <v>7.23</v>
      </c>
      <c r="AT96" s="179">
        <v>2.12</v>
      </c>
      <c r="AU96" s="179">
        <v>3.5</v>
      </c>
      <c r="AV96" s="179">
        <v>2.5</v>
      </c>
      <c r="AW96" s="179">
        <v>0.375</v>
      </c>
      <c r="AX96" s="320">
        <v>0.75</v>
      </c>
      <c r="AY96" s="318">
        <v>0.75</v>
      </c>
      <c r="AZ96" s="319">
        <v>0.655</v>
      </c>
      <c r="BA96" s="179">
        <v>1.15</v>
      </c>
      <c r="BB96" s="179">
        <v>0.303</v>
      </c>
      <c r="BC96" s="179">
        <v>0.668</v>
      </c>
      <c r="BD96" s="179">
        <v>2.56</v>
      </c>
      <c r="BE96" s="320">
        <v>1.96</v>
      </c>
      <c r="BF96" s="318">
        <v>1.09</v>
      </c>
      <c r="BG96" s="319">
        <v>1.1</v>
      </c>
      <c r="BH96" s="179">
        <v>1.09</v>
      </c>
      <c r="BI96" s="179">
        <v>1.07</v>
      </c>
      <c r="BJ96" s="179">
        <v>0.589</v>
      </c>
      <c r="BK96" s="179">
        <v>0.716</v>
      </c>
      <c r="BL96" s="320">
        <v>0.535</v>
      </c>
      <c r="BM96" s="318">
        <v>0.103</v>
      </c>
      <c r="BN96" s="319">
        <v>0.0714</v>
      </c>
      <c r="BO96" s="179">
        <v>1.69</v>
      </c>
      <c r="BP96" s="179">
        <v>0</v>
      </c>
      <c r="BQ96" s="179">
        <v>0.495</v>
      </c>
      <c r="BR96" s="179">
        <v>1</v>
      </c>
      <c r="BS96" s="320">
        <v>1.62</v>
      </c>
    </row>
    <row r="97" spans="1:71" ht="12.75">
      <c r="A97" s="381"/>
      <c r="B97" s="220"/>
      <c r="C97" s="220"/>
      <c r="D97" s="220"/>
      <c r="E97" s="220"/>
      <c r="F97" s="220"/>
      <c r="G97" s="220"/>
      <c r="H97" s="220"/>
      <c r="I97" s="220"/>
      <c r="J97" s="384"/>
      <c r="K97" s="21"/>
      <c r="L97" s="22"/>
      <c r="M97" s="3"/>
      <c r="N97" s="345"/>
      <c r="O97" s="96"/>
      <c r="P97" s="3"/>
      <c r="Q97" s="22"/>
      <c r="R97" s="22"/>
      <c r="S97" s="22"/>
      <c r="T97" s="24"/>
      <c r="U97" s="24"/>
      <c r="V97" s="24"/>
      <c r="W97" s="87"/>
      <c r="X97" s="8"/>
      <c r="Y97" s="79"/>
      <c r="Z97" s="32"/>
      <c r="AA97" s="32"/>
      <c r="AB97" s="32"/>
      <c r="AC97" s="32"/>
      <c r="AD97" s="32"/>
      <c r="AE97" s="32"/>
      <c r="AF97" s="135"/>
      <c r="AG97" s="135"/>
      <c r="AH97" s="135"/>
      <c r="AI97" s="327" t="s">
        <v>447</v>
      </c>
      <c r="AJ97" s="328">
        <v>27.3</v>
      </c>
      <c r="AK97" s="329">
        <v>0.57</v>
      </c>
      <c r="AL97" s="328">
        <v>10.1</v>
      </c>
      <c r="AM97" s="329">
        <v>0.93</v>
      </c>
      <c r="AN97" s="330">
        <v>1.53</v>
      </c>
      <c r="AO97" s="331">
        <v>299</v>
      </c>
      <c r="AP97" s="331">
        <v>343</v>
      </c>
      <c r="AQ97" s="13">
        <v>93</v>
      </c>
      <c r="AR97" s="318" t="s">
        <v>218</v>
      </c>
      <c r="AS97" s="319">
        <v>6.1</v>
      </c>
      <c r="AT97" s="179">
        <v>1.79</v>
      </c>
      <c r="AU97" s="179">
        <v>3.5</v>
      </c>
      <c r="AV97" s="179">
        <v>2.5</v>
      </c>
      <c r="AW97" s="179">
        <v>0.3125</v>
      </c>
      <c r="AX97" s="320">
        <v>0.6875</v>
      </c>
      <c r="AY97" s="318">
        <v>0.6875</v>
      </c>
      <c r="AZ97" s="319">
        <v>0.632</v>
      </c>
      <c r="BA97" s="179">
        <v>1.13</v>
      </c>
      <c r="BB97" s="179">
        <v>0.256</v>
      </c>
      <c r="BC97" s="179">
        <v>0.633</v>
      </c>
      <c r="BD97" s="179">
        <v>2.2</v>
      </c>
      <c r="BE97" s="320">
        <v>1.67</v>
      </c>
      <c r="BF97" s="318">
        <v>0.925</v>
      </c>
      <c r="BG97" s="319">
        <v>1.11</v>
      </c>
      <c r="BH97" s="179">
        <v>0.937</v>
      </c>
      <c r="BI97" s="179">
        <v>0.9</v>
      </c>
      <c r="BJ97" s="179">
        <v>0.501</v>
      </c>
      <c r="BK97" s="179">
        <v>0.723</v>
      </c>
      <c r="BL97" s="320">
        <v>0.538</v>
      </c>
      <c r="BM97" s="318">
        <v>0.0611</v>
      </c>
      <c r="BN97" s="319">
        <v>0.0426</v>
      </c>
      <c r="BO97" s="179">
        <v>1.71</v>
      </c>
      <c r="BP97" s="179">
        <v>0</v>
      </c>
      <c r="BQ97" s="179">
        <v>0.5</v>
      </c>
      <c r="BR97" s="179">
        <v>1</v>
      </c>
      <c r="BS97" s="320">
        <v>1.62</v>
      </c>
    </row>
    <row r="98" spans="1:71" ht="12.75">
      <c r="A98" s="381"/>
      <c r="B98" s="220"/>
      <c r="C98" s="220"/>
      <c r="D98" s="220"/>
      <c r="E98" s="220"/>
      <c r="F98" s="220"/>
      <c r="G98" s="220"/>
      <c r="H98" s="220"/>
      <c r="I98" s="220"/>
      <c r="J98" s="384"/>
      <c r="K98" s="21"/>
      <c r="L98" s="22"/>
      <c r="M98" s="3"/>
      <c r="N98" s="345"/>
      <c r="O98" s="96"/>
      <c r="P98" s="3"/>
      <c r="Q98" s="22"/>
      <c r="R98" s="22"/>
      <c r="S98" s="22"/>
      <c r="T98" s="24"/>
      <c r="U98" s="24"/>
      <c r="V98" s="24"/>
      <c r="W98" s="32"/>
      <c r="X98" s="32"/>
      <c r="Y98" s="32"/>
      <c r="Z98" s="32"/>
      <c r="AA98" s="32"/>
      <c r="AB98" s="32"/>
      <c r="AC98" s="32"/>
      <c r="AD98" s="32"/>
      <c r="AE98" s="32"/>
      <c r="AF98" s="135"/>
      <c r="AG98" s="135"/>
      <c r="AH98" s="135"/>
      <c r="AI98" s="327" t="s">
        <v>448</v>
      </c>
      <c r="AJ98" s="328">
        <v>27.1</v>
      </c>
      <c r="AK98" s="329">
        <v>0.515</v>
      </c>
      <c r="AL98" s="328">
        <v>10</v>
      </c>
      <c r="AM98" s="329">
        <v>0.83</v>
      </c>
      <c r="AN98" s="330">
        <v>1.43</v>
      </c>
      <c r="AO98" s="331">
        <v>267</v>
      </c>
      <c r="AP98" s="331">
        <v>305</v>
      </c>
      <c r="AQ98" s="13">
        <v>94</v>
      </c>
      <c r="AR98" s="318" t="s">
        <v>219</v>
      </c>
      <c r="AS98" s="319">
        <v>4.94</v>
      </c>
      <c r="AT98" s="179">
        <v>1.45</v>
      </c>
      <c r="AU98" s="179">
        <v>3.5</v>
      </c>
      <c r="AV98" s="179">
        <v>2.5</v>
      </c>
      <c r="AW98" s="179">
        <v>0.25</v>
      </c>
      <c r="AX98" s="320">
        <v>0.625</v>
      </c>
      <c r="AY98" s="318">
        <v>0.625</v>
      </c>
      <c r="AZ98" s="319">
        <v>0.607</v>
      </c>
      <c r="BA98" s="179">
        <v>1.1</v>
      </c>
      <c r="BB98" s="179">
        <v>0.207</v>
      </c>
      <c r="BC98" s="179">
        <v>0.596</v>
      </c>
      <c r="BD98" s="179">
        <v>1.81</v>
      </c>
      <c r="BE98" s="320">
        <v>1.36</v>
      </c>
      <c r="BF98" s="318">
        <v>0.753</v>
      </c>
      <c r="BG98" s="319">
        <v>1.12</v>
      </c>
      <c r="BH98" s="179">
        <v>0.775</v>
      </c>
      <c r="BI98" s="179">
        <v>0.728</v>
      </c>
      <c r="BJ98" s="179">
        <v>0.41</v>
      </c>
      <c r="BK98" s="179">
        <v>0.731</v>
      </c>
      <c r="BL98" s="320">
        <v>0.541</v>
      </c>
      <c r="BM98" s="318">
        <v>0.0322</v>
      </c>
      <c r="BN98" s="319">
        <v>0.0225</v>
      </c>
      <c r="BO98" s="179">
        <v>1.72</v>
      </c>
      <c r="BP98" s="179">
        <v>0</v>
      </c>
      <c r="BQ98" s="179">
        <v>0.504</v>
      </c>
      <c r="BR98" s="179">
        <v>0.9651186118618134</v>
      </c>
      <c r="BS98" s="320">
        <v>1.62</v>
      </c>
    </row>
    <row r="99" spans="1:71" ht="12.75">
      <c r="A99" s="381"/>
      <c r="B99" s="220"/>
      <c r="C99" s="220"/>
      <c r="D99" s="220"/>
      <c r="E99" s="220"/>
      <c r="F99" s="220"/>
      <c r="G99" s="220"/>
      <c r="H99" s="220"/>
      <c r="I99" s="220"/>
      <c r="J99" s="384"/>
      <c r="K99" s="21"/>
      <c r="L99" s="22"/>
      <c r="M99" s="3"/>
      <c r="N99" s="345"/>
      <c r="O99" s="96"/>
      <c r="P99" s="3"/>
      <c r="Q99" s="22"/>
      <c r="R99" s="22"/>
      <c r="S99" s="22"/>
      <c r="T99" s="24"/>
      <c r="U99" s="24"/>
      <c r="V99" s="24"/>
      <c r="W99" s="79"/>
      <c r="X99" s="32"/>
      <c r="Y99" s="32"/>
      <c r="Z99" s="79"/>
      <c r="AA99" s="32"/>
      <c r="AB99" s="32"/>
      <c r="AC99" s="32"/>
      <c r="AD99" s="32"/>
      <c r="AE99" s="32"/>
      <c r="AF99" s="135"/>
      <c r="AG99" s="135"/>
      <c r="AH99" s="135"/>
      <c r="AI99" s="327" t="s">
        <v>449</v>
      </c>
      <c r="AJ99" s="328">
        <v>26.9</v>
      </c>
      <c r="AK99" s="329">
        <v>0.49</v>
      </c>
      <c r="AL99" s="328">
        <v>10</v>
      </c>
      <c r="AM99" s="329">
        <v>0.745</v>
      </c>
      <c r="AN99" s="330">
        <v>1.34</v>
      </c>
      <c r="AO99" s="331">
        <v>243</v>
      </c>
      <c r="AP99" s="331">
        <v>278</v>
      </c>
      <c r="AQ99" s="13">
        <v>95</v>
      </c>
      <c r="AR99" s="318" t="s">
        <v>220</v>
      </c>
      <c r="AS99" s="319">
        <v>9.35</v>
      </c>
      <c r="AT99" s="179">
        <v>2.75</v>
      </c>
      <c r="AU99" s="179">
        <v>3</v>
      </c>
      <c r="AV99" s="179">
        <v>3</v>
      </c>
      <c r="AW99" s="179">
        <v>0.5</v>
      </c>
      <c r="AX99" s="320">
        <v>0.875</v>
      </c>
      <c r="AY99" s="318">
        <v>0.875</v>
      </c>
      <c r="AZ99" s="319">
        <v>0.929</v>
      </c>
      <c r="BA99" s="179">
        <v>0.929</v>
      </c>
      <c r="BB99" s="179">
        <v>0.458</v>
      </c>
      <c r="BC99" s="179">
        <v>0.458</v>
      </c>
      <c r="BD99" s="179">
        <v>2.2</v>
      </c>
      <c r="BE99" s="320">
        <v>1.91</v>
      </c>
      <c r="BF99" s="318">
        <v>1.06</v>
      </c>
      <c r="BG99" s="319">
        <v>0.895</v>
      </c>
      <c r="BH99" s="179">
        <v>2.2</v>
      </c>
      <c r="BI99" s="179">
        <v>1.91</v>
      </c>
      <c r="BJ99" s="179">
        <v>1.06</v>
      </c>
      <c r="BK99" s="179">
        <v>0.895</v>
      </c>
      <c r="BL99" s="320">
        <v>0.58</v>
      </c>
      <c r="BM99" s="318">
        <v>0.23</v>
      </c>
      <c r="BN99" s="319">
        <v>0.144</v>
      </c>
      <c r="BO99" s="179">
        <v>1.59</v>
      </c>
      <c r="BP99" s="179">
        <v>0.635</v>
      </c>
      <c r="BQ99" s="179">
        <v>1</v>
      </c>
      <c r="BR99" s="179">
        <v>1</v>
      </c>
      <c r="BS99" s="320">
        <v>0</v>
      </c>
    </row>
    <row r="100" spans="1:71" ht="12.75">
      <c r="A100" s="382"/>
      <c r="B100" s="383"/>
      <c r="C100" s="383"/>
      <c r="D100" s="383"/>
      <c r="E100" s="383"/>
      <c r="F100" s="383"/>
      <c r="G100" s="383"/>
      <c r="H100" s="383"/>
      <c r="I100" s="383"/>
      <c r="J100" s="385"/>
      <c r="K100" s="346"/>
      <c r="L100" s="3"/>
      <c r="M100" s="41"/>
      <c r="N100" s="41"/>
      <c r="O100" s="22"/>
      <c r="P100" s="22"/>
      <c r="Q100" s="22"/>
      <c r="R100" s="57"/>
      <c r="S100" s="22"/>
      <c r="T100" s="24"/>
      <c r="U100" s="24"/>
      <c r="V100" s="24"/>
      <c r="W100" s="87"/>
      <c r="X100" s="8"/>
      <c r="Y100" s="79"/>
      <c r="Z100" s="79"/>
      <c r="AA100" s="32"/>
      <c r="AB100" s="32"/>
      <c r="AC100" s="32"/>
      <c r="AD100" s="32"/>
      <c r="AE100" s="32"/>
      <c r="AF100" s="135"/>
      <c r="AG100" s="135"/>
      <c r="AH100" s="135"/>
      <c r="AI100" s="327" t="s">
        <v>450</v>
      </c>
      <c r="AJ100" s="328">
        <v>26.7</v>
      </c>
      <c r="AK100" s="329">
        <v>0.46</v>
      </c>
      <c r="AL100" s="328">
        <v>10</v>
      </c>
      <c r="AM100" s="329">
        <v>0.64</v>
      </c>
      <c r="AN100" s="330">
        <v>1.24</v>
      </c>
      <c r="AO100" s="331">
        <v>213</v>
      </c>
      <c r="AP100" s="331">
        <v>244</v>
      </c>
      <c r="AQ100" s="13">
        <v>96</v>
      </c>
      <c r="AR100" s="318" t="s">
        <v>221</v>
      </c>
      <c r="AS100" s="319">
        <v>8.28</v>
      </c>
      <c r="AT100" s="179">
        <v>2.43</v>
      </c>
      <c r="AU100" s="179">
        <v>3</v>
      </c>
      <c r="AV100" s="179">
        <v>3</v>
      </c>
      <c r="AW100" s="179">
        <v>0.4375</v>
      </c>
      <c r="AX100" s="320">
        <v>0.8125</v>
      </c>
      <c r="AY100" s="318">
        <v>0.8125</v>
      </c>
      <c r="AZ100" s="319">
        <v>0.907</v>
      </c>
      <c r="BA100" s="179">
        <v>0.907</v>
      </c>
      <c r="BB100" s="179">
        <v>0.405</v>
      </c>
      <c r="BC100" s="179">
        <v>0.405</v>
      </c>
      <c r="BD100" s="179">
        <v>1.98</v>
      </c>
      <c r="BE100" s="320">
        <v>1.7</v>
      </c>
      <c r="BF100" s="318">
        <v>0.946</v>
      </c>
      <c r="BG100" s="319">
        <v>0.903</v>
      </c>
      <c r="BH100" s="179">
        <v>1.98</v>
      </c>
      <c r="BI100" s="179">
        <v>1.7</v>
      </c>
      <c r="BJ100" s="179">
        <v>0.946</v>
      </c>
      <c r="BK100" s="179">
        <v>0.903</v>
      </c>
      <c r="BL100" s="320">
        <v>0.58</v>
      </c>
      <c r="BM100" s="318">
        <v>0.157</v>
      </c>
      <c r="BN100" s="319">
        <v>0.1</v>
      </c>
      <c r="BO100" s="179">
        <v>1.61</v>
      </c>
      <c r="BP100" s="179">
        <v>0.632</v>
      </c>
      <c r="BQ100" s="179">
        <v>1</v>
      </c>
      <c r="BR100" s="179">
        <v>1</v>
      </c>
      <c r="BS100" s="320">
        <v>0</v>
      </c>
    </row>
    <row r="101" spans="11:71" ht="12.75">
      <c r="K101" s="44"/>
      <c r="L101" s="44"/>
      <c r="M101" s="44"/>
      <c r="N101" s="44"/>
      <c r="O101" s="44"/>
      <c r="P101" s="44"/>
      <c r="Q101" s="44"/>
      <c r="R101" s="61"/>
      <c r="S101" s="94"/>
      <c r="T101" s="24"/>
      <c r="U101" s="24"/>
      <c r="V101" s="24"/>
      <c r="W101" s="87"/>
      <c r="X101" s="8"/>
      <c r="Y101" s="79"/>
      <c r="Z101" s="79"/>
      <c r="AA101" s="32"/>
      <c r="AB101" s="32"/>
      <c r="AC101" s="32"/>
      <c r="AD101" s="32"/>
      <c r="AE101" s="32"/>
      <c r="AF101" s="135"/>
      <c r="AG101" s="135"/>
      <c r="AH101" s="135"/>
      <c r="AI101" s="327" t="s">
        <v>451</v>
      </c>
      <c r="AJ101" s="328">
        <v>28</v>
      </c>
      <c r="AK101" s="330">
        <v>1.52</v>
      </c>
      <c r="AL101" s="328">
        <v>13.7</v>
      </c>
      <c r="AM101" s="330">
        <v>2.72</v>
      </c>
      <c r="AN101" s="330">
        <v>3.22</v>
      </c>
      <c r="AO101" s="331">
        <v>957</v>
      </c>
      <c r="AP101" s="331">
        <v>1130</v>
      </c>
      <c r="AQ101" s="13">
        <v>97</v>
      </c>
      <c r="AR101" s="318" t="s">
        <v>222</v>
      </c>
      <c r="AS101" s="319">
        <v>7.17</v>
      </c>
      <c r="AT101" s="179">
        <v>2.11</v>
      </c>
      <c r="AU101" s="179">
        <v>3</v>
      </c>
      <c r="AV101" s="179">
        <v>3</v>
      </c>
      <c r="AW101" s="179">
        <v>0.375</v>
      </c>
      <c r="AX101" s="320">
        <v>0.75</v>
      </c>
      <c r="AY101" s="318">
        <v>0.75</v>
      </c>
      <c r="AZ101" s="319">
        <v>0.884</v>
      </c>
      <c r="BA101" s="179">
        <v>0.884</v>
      </c>
      <c r="BB101" s="179">
        <v>0.351</v>
      </c>
      <c r="BC101" s="179">
        <v>0.351</v>
      </c>
      <c r="BD101" s="179">
        <v>1.75</v>
      </c>
      <c r="BE101" s="320">
        <v>1.48</v>
      </c>
      <c r="BF101" s="318">
        <v>0.825</v>
      </c>
      <c r="BG101" s="319">
        <v>0.91</v>
      </c>
      <c r="BH101" s="179">
        <v>1.75</v>
      </c>
      <c r="BI101" s="179">
        <v>1.48</v>
      </c>
      <c r="BJ101" s="179">
        <v>0.825</v>
      </c>
      <c r="BK101" s="179">
        <v>0.91</v>
      </c>
      <c r="BL101" s="320">
        <v>0.581</v>
      </c>
      <c r="BM101" s="318">
        <v>0.101</v>
      </c>
      <c r="BN101" s="319">
        <v>0.0652</v>
      </c>
      <c r="BO101" s="179">
        <v>1.62</v>
      </c>
      <c r="BP101" s="179">
        <v>0.63</v>
      </c>
      <c r="BQ101" s="179">
        <v>1</v>
      </c>
      <c r="BR101" s="179">
        <v>1</v>
      </c>
      <c r="BS101" s="320">
        <v>0</v>
      </c>
    </row>
    <row r="102" spans="11:71" ht="12.75">
      <c r="K102" s="102"/>
      <c r="L102" s="44"/>
      <c r="M102" s="44"/>
      <c r="N102" s="44"/>
      <c r="O102" s="44"/>
      <c r="P102" s="44"/>
      <c r="Q102" s="39"/>
      <c r="R102" s="61"/>
      <c r="S102" s="111"/>
      <c r="T102" s="24"/>
      <c r="U102" s="24"/>
      <c r="V102" s="24"/>
      <c r="W102" s="87"/>
      <c r="X102" s="8"/>
      <c r="Y102" s="79"/>
      <c r="Z102" s="41"/>
      <c r="AA102" s="32"/>
      <c r="AB102" s="32"/>
      <c r="AC102" s="32"/>
      <c r="AD102" s="32"/>
      <c r="AE102" s="32"/>
      <c r="AF102" s="135"/>
      <c r="AG102" s="135"/>
      <c r="AH102" s="135"/>
      <c r="AI102" s="327" t="s">
        <v>452</v>
      </c>
      <c r="AJ102" s="328">
        <v>27.5</v>
      </c>
      <c r="AK102" s="330">
        <v>1.38</v>
      </c>
      <c r="AL102" s="328">
        <v>13.5</v>
      </c>
      <c r="AM102" s="330">
        <v>2.48</v>
      </c>
      <c r="AN102" s="330">
        <v>2.98</v>
      </c>
      <c r="AO102" s="331">
        <v>864</v>
      </c>
      <c r="AP102" s="331">
        <v>1020</v>
      </c>
      <c r="AQ102" s="13">
        <v>98</v>
      </c>
      <c r="AR102" s="318" t="s">
        <v>223</v>
      </c>
      <c r="AS102" s="319">
        <v>6.04</v>
      </c>
      <c r="AT102" s="179">
        <v>1.78</v>
      </c>
      <c r="AU102" s="179">
        <v>3</v>
      </c>
      <c r="AV102" s="179">
        <v>3</v>
      </c>
      <c r="AW102" s="179">
        <v>0.3125</v>
      </c>
      <c r="AX102" s="320">
        <v>0.6875</v>
      </c>
      <c r="AY102" s="318">
        <v>0.6875</v>
      </c>
      <c r="AZ102" s="319">
        <v>0.86</v>
      </c>
      <c r="BA102" s="179">
        <v>0.86</v>
      </c>
      <c r="BB102" s="179">
        <v>0.296</v>
      </c>
      <c r="BC102" s="179">
        <v>0.296</v>
      </c>
      <c r="BD102" s="179">
        <v>1.5</v>
      </c>
      <c r="BE102" s="320">
        <v>1.26</v>
      </c>
      <c r="BF102" s="318">
        <v>0.699</v>
      </c>
      <c r="BG102" s="319">
        <v>0.918</v>
      </c>
      <c r="BH102" s="179">
        <v>1.5</v>
      </c>
      <c r="BI102" s="179">
        <v>1.25</v>
      </c>
      <c r="BJ102" s="179">
        <v>0.699</v>
      </c>
      <c r="BK102" s="179">
        <v>0.918</v>
      </c>
      <c r="BL102" s="320">
        <v>0.583</v>
      </c>
      <c r="BM102" s="318">
        <v>0.0597</v>
      </c>
      <c r="BN102" s="319">
        <v>0.039</v>
      </c>
      <c r="BO102" s="179">
        <v>1.63</v>
      </c>
      <c r="BP102" s="179">
        <v>0.629</v>
      </c>
      <c r="BQ102" s="179">
        <v>1</v>
      </c>
      <c r="BR102" s="179">
        <v>1</v>
      </c>
      <c r="BS102" s="320">
        <v>0</v>
      </c>
    </row>
    <row r="103" spans="11:71" ht="12.75">
      <c r="K103" s="39"/>
      <c r="L103" s="44"/>
      <c r="M103" s="44"/>
      <c r="N103" s="73"/>
      <c r="O103" s="44"/>
      <c r="P103" s="44"/>
      <c r="Q103" s="44"/>
      <c r="R103" s="112"/>
      <c r="S103" s="7"/>
      <c r="T103" s="24"/>
      <c r="U103" s="24"/>
      <c r="V103" s="24"/>
      <c r="W103" s="79"/>
      <c r="X103" s="32"/>
      <c r="Y103" s="32"/>
      <c r="Z103" s="79"/>
      <c r="AA103" s="32"/>
      <c r="AB103" s="32"/>
      <c r="AC103" s="32"/>
      <c r="AD103" s="32"/>
      <c r="AE103" s="32"/>
      <c r="AF103" s="135"/>
      <c r="AG103" s="135"/>
      <c r="AH103" s="135"/>
      <c r="AI103" s="327" t="s">
        <v>453</v>
      </c>
      <c r="AJ103" s="328">
        <v>27.1</v>
      </c>
      <c r="AK103" s="330">
        <v>1.26</v>
      </c>
      <c r="AL103" s="328">
        <v>13.4</v>
      </c>
      <c r="AM103" s="330">
        <v>2.28</v>
      </c>
      <c r="AN103" s="330">
        <v>2.78</v>
      </c>
      <c r="AO103" s="331">
        <v>789</v>
      </c>
      <c r="AP103" s="331">
        <v>922</v>
      </c>
      <c r="AQ103" s="13">
        <v>99</v>
      </c>
      <c r="AR103" s="318" t="s">
        <v>224</v>
      </c>
      <c r="AS103" s="319">
        <v>4.89</v>
      </c>
      <c r="AT103" s="179">
        <v>1.44</v>
      </c>
      <c r="AU103" s="179">
        <v>3</v>
      </c>
      <c r="AV103" s="179">
        <v>3</v>
      </c>
      <c r="AW103" s="179">
        <v>0.25</v>
      </c>
      <c r="AX103" s="320">
        <v>0.625</v>
      </c>
      <c r="AY103" s="318">
        <v>0.625</v>
      </c>
      <c r="AZ103" s="319">
        <v>0.836</v>
      </c>
      <c r="BA103" s="179">
        <v>0.836</v>
      </c>
      <c r="BB103" s="179">
        <v>0.239</v>
      </c>
      <c r="BC103" s="179">
        <v>0.239</v>
      </c>
      <c r="BD103" s="179">
        <v>1.23</v>
      </c>
      <c r="BE103" s="320">
        <v>1.02</v>
      </c>
      <c r="BF103" s="318">
        <v>0.569</v>
      </c>
      <c r="BG103" s="319">
        <v>0.926</v>
      </c>
      <c r="BH103" s="179">
        <v>1.23</v>
      </c>
      <c r="BI103" s="179">
        <v>1.02</v>
      </c>
      <c r="BJ103" s="179">
        <v>0.569</v>
      </c>
      <c r="BK103" s="179">
        <v>0.926</v>
      </c>
      <c r="BL103" s="320">
        <v>0.585</v>
      </c>
      <c r="BM103" s="318">
        <v>0.0313</v>
      </c>
      <c r="BN103" s="319">
        <v>0.0206</v>
      </c>
      <c r="BO103" s="179">
        <v>1.65</v>
      </c>
      <c r="BP103" s="179">
        <v>0.628</v>
      </c>
      <c r="BQ103" s="179">
        <v>1</v>
      </c>
      <c r="BR103" s="179">
        <v>1</v>
      </c>
      <c r="BS103" s="320">
        <v>0</v>
      </c>
    </row>
    <row r="104" spans="11:71" ht="12.75">
      <c r="K104" s="47"/>
      <c r="L104" s="106"/>
      <c r="M104" s="43"/>
      <c r="N104" s="43"/>
      <c r="O104" s="44"/>
      <c r="P104" s="44"/>
      <c r="Q104" s="44"/>
      <c r="R104" s="61"/>
      <c r="S104" s="7"/>
      <c r="T104" s="24"/>
      <c r="U104" s="24"/>
      <c r="V104" s="24"/>
      <c r="W104" s="87"/>
      <c r="X104" s="8"/>
      <c r="Y104" s="79"/>
      <c r="Z104" s="79"/>
      <c r="AA104" s="32"/>
      <c r="AB104" s="32"/>
      <c r="AC104" s="32"/>
      <c r="AD104" s="32"/>
      <c r="AE104" s="32"/>
      <c r="AF104" s="32"/>
      <c r="AG104" s="32"/>
      <c r="AH104" s="32"/>
      <c r="AI104" s="327" t="s">
        <v>454</v>
      </c>
      <c r="AJ104" s="328">
        <v>26.7</v>
      </c>
      <c r="AK104" s="330">
        <v>1.16</v>
      </c>
      <c r="AL104" s="328">
        <v>13.3</v>
      </c>
      <c r="AM104" s="330">
        <v>2.09</v>
      </c>
      <c r="AN104" s="330">
        <v>2.59</v>
      </c>
      <c r="AO104" s="331">
        <v>718</v>
      </c>
      <c r="AP104" s="331">
        <v>835</v>
      </c>
      <c r="AQ104" s="13">
        <v>100</v>
      </c>
      <c r="AR104" s="318" t="s">
        <v>225</v>
      </c>
      <c r="AS104" s="319">
        <v>3.7</v>
      </c>
      <c r="AT104" s="179">
        <v>1.09</v>
      </c>
      <c r="AU104" s="179">
        <v>3</v>
      </c>
      <c r="AV104" s="179">
        <v>3</v>
      </c>
      <c r="AW104" s="179">
        <v>0.1875</v>
      </c>
      <c r="AX104" s="320">
        <v>0.5625</v>
      </c>
      <c r="AY104" s="318">
        <v>0.5625</v>
      </c>
      <c r="AZ104" s="319">
        <v>0.812</v>
      </c>
      <c r="BA104" s="179">
        <v>0.812</v>
      </c>
      <c r="BB104" s="179">
        <v>0.181</v>
      </c>
      <c r="BC104" s="179">
        <v>0.181</v>
      </c>
      <c r="BD104" s="179">
        <v>0.948</v>
      </c>
      <c r="BE104" s="320">
        <v>0.774</v>
      </c>
      <c r="BF104" s="318">
        <v>0.433</v>
      </c>
      <c r="BG104" s="319">
        <v>0.933</v>
      </c>
      <c r="BH104" s="179">
        <v>0.948</v>
      </c>
      <c r="BI104" s="179">
        <v>0.774</v>
      </c>
      <c r="BJ104" s="179">
        <v>0.433</v>
      </c>
      <c r="BK104" s="179">
        <v>0.933</v>
      </c>
      <c r="BL104" s="320">
        <v>0.586</v>
      </c>
      <c r="BM104" s="318">
        <v>0.0136</v>
      </c>
      <c r="BN104" s="319">
        <v>0.009</v>
      </c>
      <c r="BO104" s="179">
        <v>1.66</v>
      </c>
      <c r="BP104" s="179">
        <v>0.627</v>
      </c>
      <c r="BQ104" s="179">
        <v>1</v>
      </c>
      <c r="BR104" s="179">
        <v>0.9115641278420724</v>
      </c>
      <c r="BS104" s="320">
        <v>0</v>
      </c>
    </row>
    <row r="105" spans="11:71" ht="12.75">
      <c r="K105" s="47"/>
      <c r="L105" s="126"/>
      <c r="M105" s="43"/>
      <c r="N105" s="43"/>
      <c r="O105" s="44"/>
      <c r="P105" s="44"/>
      <c r="Q105" s="44"/>
      <c r="R105" s="44"/>
      <c r="S105" s="44"/>
      <c r="T105" s="24"/>
      <c r="U105" s="24"/>
      <c r="V105" s="24"/>
      <c r="W105" s="87"/>
      <c r="X105" s="8"/>
      <c r="Y105" s="79"/>
      <c r="Z105" s="79"/>
      <c r="AA105" s="32"/>
      <c r="AB105" s="32"/>
      <c r="AC105" s="32"/>
      <c r="AD105" s="32"/>
      <c r="AE105" s="32"/>
      <c r="AF105" s="344"/>
      <c r="AG105" s="344"/>
      <c r="AH105" s="344"/>
      <c r="AI105" s="327" t="s">
        <v>455</v>
      </c>
      <c r="AJ105" s="328">
        <v>26.3</v>
      </c>
      <c r="AK105" s="330">
        <v>1.04</v>
      </c>
      <c r="AL105" s="328">
        <v>13.2</v>
      </c>
      <c r="AM105" s="330">
        <v>1.89</v>
      </c>
      <c r="AN105" s="330">
        <v>2.39</v>
      </c>
      <c r="AO105" s="331">
        <v>644</v>
      </c>
      <c r="AP105" s="331">
        <v>744</v>
      </c>
      <c r="AQ105" s="13">
        <v>101</v>
      </c>
      <c r="AR105" s="318" t="s">
        <v>226</v>
      </c>
      <c r="AS105" s="319">
        <v>8.53</v>
      </c>
      <c r="AT105" s="179">
        <v>2.51</v>
      </c>
      <c r="AU105" s="179">
        <v>3</v>
      </c>
      <c r="AV105" s="179">
        <v>2.5</v>
      </c>
      <c r="AW105" s="179">
        <v>0.5</v>
      </c>
      <c r="AX105" s="320">
        <v>0.875</v>
      </c>
      <c r="AY105" s="318">
        <v>0.875</v>
      </c>
      <c r="AZ105" s="319">
        <v>0.746</v>
      </c>
      <c r="BA105" s="179">
        <v>0.995</v>
      </c>
      <c r="BB105" s="179">
        <v>0.418</v>
      </c>
      <c r="BC105" s="179">
        <v>0.494</v>
      </c>
      <c r="BD105" s="179">
        <v>2.07</v>
      </c>
      <c r="BE105" s="320">
        <v>1.86</v>
      </c>
      <c r="BF105" s="318">
        <v>1.03</v>
      </c>
      <c r="BG105" s="319">
        <v>0.91</v>
      </c>
      <c r="BH105" s="179">
        <v>1.29</v>
      </c>
      <c r="BI105" s="179">
        <v>1.34</v>
      </c>
      <c r="BJ105" s="179">
        <v>0.736</v>
      </c>
      <c r="BK105" s="179">
        <v>0.718</v>
      </c>
      <c r="BL105" s="320">
        <v>0.516</v>
      </c>
      <c r="BM105" s="318">
        <v>0.213</v>
      </c>
      <c r="BN105" s="319">
        <v>0.112</v>
      </c>
      <c r="BO105" s="179">
        <v>1.46</v>
      </c>
      <c r="BP105" s="179">
        <v>0</v>
      </c>
      <c r="BQ105" s="179">
        <v>0.666</v>
      </c>
      <c r="BR105" s="179">
        <v>1</v>
      </c>
      <c r="BS105" s="320">
        <v>0.86</v>
      </c>
    </row>
    <row r="106" spans="11:71" ht="12.75">
      <c r="K106" s="47"/>
      <c r="L106" s="40"/>
      <c r="M106" s="43"/>
      <c r="N106" s="43"/>
      <c r="O106" s="44"/>
      <c r="P106" s="44"/>
      <c r="Q106" s="44"/>
      <c r="R106" s="44"/>
      <c r="S106" s="44"/>
      <c r="T106" s="24"/>
      <c r="U106" s="24"/>
      <c r="V106" s="24"/>
      <c r="W106" s="87"/>
      <c r="X106" s="8"/>
      <c r="Y106" s="79"/>
      <c r="Z106" s="79"/>
      <c r="AA106" s="32"/>
      <c r="AB106" s="32"/>
      <c r="AC106" s="32"/>
      <c r="AD106" s="32"/>
      <c r="AE106" s="32"/>
      <c r="AF106" s="32"/>
      <c r="AG106" s="32"/>
      <c r="AH106" s="32"/>
      <c r="AI106" s="327" t="s">
        <v>456</v>
      </c>
      <c r="AJ106" s="328">
        <v>26</v>
      </c>
      <c r="AK106" s="329">
        <v>0.96</v>
      </c>
      <c r="AL106" s="328">
        <v>13.1</v>
      </c>
      <c r="AM106" s="330">
        <v>1.73</v>
      </c>
      <c r="AN106" s="330">
        <v>2.23</v>
      </c>
      <c r="AO106" s="331">
        <v>588</v>
      </c>
      <c r="AP106" s="331">
        <v>675</v>
      </c>
      <c r="AQ106" s="13">
        <v>102</v>
      </c>
      <c r="AR106" s="318" t="s">
        <v>227</v>
      </c>
      <c r="AS106" s="319">
        <v>7.56</v>
      </c>
      <c r="AT106" s="179">
        <v>2.22</v>
      </c>
      <c r="AU106" s="179">
        <v>3</v>
      </c>
      <c r="AV106" s="179">
        <v>2.5</v>
      </c>
      <c r="AW106" s="179">
        <v>0.4375</v>
      </c>
      <c r="AX106" s="320">
        <v>0.8125</v>
      </c>
      <c r="AY106" s="318">
        <v>0.8125</v>
      </c>
      <c r="AZ106" s="319">
        <v>0.724</v>
      </c>
      <c r="BA106" s="179">
        <v>0.972</v>
      </c>
      <c r="BB106" s="179">
        <v>0.37</v>
      </c>
      <c r="BC106" s="179">
        <v>0.462</v>
      </c>
      <c r="BD106" s="179">
        <v>1.87</v>
      </c>
      <c r="BE106" s="320">
        <v>1.66</v>
      </c>
      <c r="BF106" s="318">
        <v>0.921</v>
      </c>
      <c r="BG106" s="319">
        <v>0.917</v>
      </c>
      <c r="BH106" s="179">
        <v>1.17</v>
      </c>
      <c r="BI106" s="179">
        <v>1.19</v>
      </c>
      <c r="BJ106" s="179">
        <v>0.656</v>
      </c>
      <c r="BK106" s="179">
        <v>0.724</v>
      </c>
      <c r="BL106" s="320">
        <v>0.516</v>
      </c>
      <c r="BM106" s="318">
        <v>0.146</v>
      </c>
      <c r="BN106" s="319">
        <v>0.0777</v>
      </c>
      <c r="BO106" s="179">
        <v>1.48</v>
      </c>
      <c r="BP106" s="179">
        <v>0</v>
      </c>
      <c r="BQ106" s="179">
        <v>0.671</v>
      </c>
      <c r="BR106" s="179">
        <v>1</v>
      </c>
      <c r="BS106" s="320">
        <v>0.86</v>
      </c>
    </row>
    <row r="107" spans="11:71" ht="12.75">
      <c r="K107" s="47"/>
      <c r="L107" s="40"/>
      <c r="M107" s="100"/>
      <c r="N107" s="73"/>
      <c r="O107" s="44"/>
      <c r="P107" s="44"/>
      <c r="Q107" s="44"/>
      <c r="R107" s="44"/>
      <c r="S107" s="44"/>
      <c r="T107" s="24"/>
      <c r="U107" s="24"/>
      <c r="V107" s="24"/>
      <c r="W107" s="66"/>
      <c r="X107" s="23"/>
      <c r="Y107" s="41"/>
      <c r="Z107" s="79"/>
      <c r="AA107" s="32"/>
      <c r="AB107" s="32"/>
      <c r="AC107" s="32"/>
      <c r="AD107" s="32"/>
      <c r="AE107" s="32"/>
      <c r="AF107" s="342"/>
      <c r="AG107" s="342"/>
      <c r="AH107" s="342"/>
      <c r="AI107" s="327" t="s">
        <v>457</v>
      </c>
      <c r="AJ107" s="328">
        <v>25.7</v>
      </c>
      <c r="AK107" s="329">
        <v>0.87</v>
      </c>
      <c r="AL107" s="328">
        <v>13</v>
      </c>
      <c r="AM107" s="330">
        <v>1.57</v>
      </c>
      <c r="AN107" s="330">
        <v>2.07</v>
      </c>
      <c r="AO107" s="331">
        <v>531</v>
      </c>
      <c r="AP107" s="331">
        <v>606</v>
      </c>
      <c r="AQ107" s="13">
        <v>103</v>
      </c>
      <c r="AR107" s="318" t="s">
        <v>228</v>
      </c>
      <c r="AS107" s="319">
        <v>6.56</v>
      </c>
      <c r="AT107" s="179">
        <v>1.93</v>
      </c>
      <c r="AU107" s="179">
        <v>3</v>
      </c>
      <c r="AV107" s="179">
        <v>2.5</v>
      </c>
      <c r="AW107" s="179">
        <v>0.375</v>
      </c>
      <c r="AX107" s="320">
        <v>0.75</v>
      </c>
      <c r="AY107" s="318">
        <v>0.75</v>
      </c>
      <c r="AZ107" s="319">
        <v>0.701</v>
      </c>
      <c r="BA107" s="179">
        <v>0.949</v>
      </c>
      <c r="BB107" s="179">
        <v>0.321</v>
      </c>
      <c r="BC107" s="179">
        <v>0.43</v>
      </c>
      <c r="BD107" s="179">
        <v>1.65</v>
      </c>
      <c r="BE107" s="320">
        <v>1.45</v>
      </c>
      <c r="BF107" s="318">
        <v>0.803</v>
      </c>
      <c r="BG107" s="319">
        <v>0.924</v>
      </c>
      <c r="BH107" s="179">
        <v>1.03</v>
      </c>
      <c r="BI107" s="179">
        <v>1.03</v>
      </c>
      <c r="BJ107" s="179">
        <v>0.573</v>
      </c>
      <c r="BK107" s="179">
        <v>0.731</v>
      </c>
      <c r="BL107" s="320">
        <v>0.517</v>
      </c>
      <c r="BM107" s="318">
        <v>0.0943</v>
      </c>
      <c r="BN107" s="319">
        <v>0.0507</v>
      </c>
      <c r="BO107" s="179">
        <v>1.49</v>
      </c>
      <c r="BP107" s="179">
        <v>0</v>
      </c>
      <c r="BQ107" s="179">
        <v>0.675</v>
      </c>
      <c r="BR107" s="179">
        <v>1</v>
      </c>
      <c r="BS107" s="320">
        <v>0.86</v>
      </c>
    </row>
    <row r="108" spans="11:71" ht="12.75">
      <c r="K108" s="47"/>
      <c r="L108" s="4"/>
      <c r="M108" s="43"/>
      <c r="N108" s="43"/>
      <c r="O108" s="44"/>
      <c r="P108" s="44"/>
      <c r="Q108" s="44"/>
      <c r="R108" s="44"/>
      <c r="S108" s="44"/>
      <c r="T108" s="24"/>
      <c r="U108" s="24"/>
      <c r="V108" s="24"/>
      <c r="W108" s="32"/>
      <c r="X108" s="32"/>
      <c r="Y108" s="32"/>
      <c r="Z108" s="79"/>
      <c r="AA108" s="32"/>
      <c r="AB108" s="32"/>
      <c r="AC108" s="32"/>
      <c r="AD108" s="32"/>
      <c r="AE108" s="32"/>
      <c r="AF108" s="343"/>
      <c r="AG108" s="343"/>
      <c r="AH108" s="343"/>
      <c r="AI108" s="327" t="s">
        <v>458</v>
      </c>
      <c r="AJ108" s="328">
        <v>25.5</v>
      </c>
      <c r="AK108" s="329">
        <v>0.81</v>
      </c>
      <c r="AL108" s="328">
        <v>13</v>
      </c>
      <c r="AM108" s="330">
        <v>1.46</v>
      </c>
      <c r="AN108" s="330">
        <v>1.96</v>
      </c>
      <c r="AO108" s="331">
        <v>491</v>
      </c>
      <c r="AP108" s="331">
        <v>559</v>
      </c>
      <c r="AQ108" s="13">
        <v>104</v>
      </c>
      <c r="AR108" s="318" t="s">
        <v>229</v>
      </c>
      <c r="AS108" s="319">
        <v>5.54</v>
      </c>
      <c r="AT108" s="179">
        <v>1.63</v>
      </c>
      <c r="AU108" s="179">
        <v>3</v>
      </c>
      <c r="AV108" s="179">
        <v>2.5</v>
      </c>
      <c r="AW108" s="179">
        <v>0.3125</v>
      </c>
      <c r="AX108" s="320">
        <v>0.6875</v>
      </c>
      <c r="AY108" s="318">
        <v>0.6875</v>
      </c>
      <c r="AZ108" s="319">
        <v>0.677</v>
      </c>
      <c r="BA108" s="179">
        <v>0.925</v>
      </c>
      <c r="BB108" s="179">
        <v>0.271</v>
      </c>
      <c r="BC108" s="179">
        <v>0.397</v>
      </c>
      <c r="BD108" s="179">
        <v>1.41</v>
      </c>
      <c r="BE108" s="320">
        <v>1.23</v>
      </c>
      <c r="BF108" s="318">
        <v>0.681</v>
      </c>
      <c r="BG108" s="319">
        <v>0.932</v>
      </c>
      <c r="BH108" s="179">
        <v>0.888</v>
      </c>
      <c r="BI108" s="179">
        <v>0.873</v>
      </c>
      <c r="BJ108" s="179">
        <v>0.487</v>
      </c>
      <c r="BK108" s="179">
        <v>0.739</v>
      </c>
      <c r="BL108" s="320">
        <v>0.518</v>
      </c>
      <c r="BM108" s="318">
        <v>0.056</v>
      </c>
      <c r="BN108" s="319">
        <v>0.0304</v>
      </c>
      <c r="BO108" s="179">
        <v>1.51</v>
      </c>
      <c r="BP108" s="179">
        <v>0</v>
      </c>
      <c r="BQ108" s="179">
        <v>0.68</v>
      </c>
      <c r="BR108" s="179">
        <v>1</v>
      </c>
      <c r="BS108" s="320">
        <v>0.86</v>
      </c>
    </row>
    <row r="109" spans="11:71" ht="12.75">
      <c r="K109" s="47"/>
      <c r="L109" s="9"/>
      <c r="M109" s="43"/>
      <c r="N109" s="43"/>
      <c r="O109" s="44"/>
      <c r="P109" s="39"/>
      <c r="Q109" s="39"/>
      <c r="R109" s="39"/>
      <c r="S109" s="39"/>
      <c r="T109" s="24"/>
      <c r="U109" s="24"/>
      <c r="V109" s="24"/>
      <c r="W109" s="124"/>
      <c r="X109" s="103"/>
      <c r="Y109" s="41"/>
      <c r="Z109" s="79"/>
      <c r="AA109" s="32"/>
      <c r="AB109" s="32"/>
      <c r="AC109" s="32"/>
      <c r="AD109" s="32"/>
      <c r="AE109" s="32"/>
      <c r="AF109" s="32"/>
      <c r="AG109" s="32"/>
      <c r="AH109" s="32"/>
      <c r="AI109" s="327" t="s">
        <v>459</v>
      </c>
      <c r="AJ109" s="328">
        <v>25.2</v>
      </c>
      <c r="AK109" s="329">
        <v>0.75</v>
      </c>
      <c r="AL109" s="328">
        <v>12.9</v>
      </c>
      <c r="AM109" s="330">
        <v>1.34</v>
      </c>
      <c r="AN109" s="330">
        <v>1.84</v>
      </c>
      <c r="AO109" s="331">
        <v>450</v>
      </c>
      <c r="AP109" s="331">
        <v>511</v>
      </c>
      <c r="AQ109" s="13">
        <v>105</v>
      </c>
      <c r="AR109" s="318" t="s">
        <v>230</v>
      </c>
      <c r="AS109" s="319">
        <v>4.49</v>
      </c>
      <c r="AT109" s="179">
        <v>1.32</v>
      </c>
      <c r="AU109" s="179">
        <v>3</v>
      </c>
      <c r="AV109" s="179">
        <v>2.5</v>
      </c>
      <c r="AW109" s="179">
        <v>0.25</v>
      </c>
      <c r="AX109" s="320">
        <v>0.625</v>
      </c>
      <c r="AY109" s="318">
        <v>0.625</v>
      </c>
      <c r="AZ109" s="319">
        <v>0.653</v>
      </c>
      <c r="BA109" s="179">
        <v>0.9</v>
      </c>
      <c r="BB109" s="179">
        <v>0.22</v>
      </c>
      <c r="BC109" s="179">
        <v>0.363</v>
      </c>
      <c r="BD109" s="179">
        <v>1.16</v>
      </c>
      <c r="BE109" s="320">
        <v>1</v>
      </c>
      <c r="BF109" s="318">
        <v>0.555</v>
      </c>
      <c r="BG109" s="319">
        <v>0.94</v>
      </c>
      <c r="BH109" s="179">
        <v>0.734</v>
      </c>
      <c r="BI109" s="179">
        <v>0.707</v>
      </c>
      <c r="BJ109" s="179">
        <v>0.397</v>
      </c>
      <c r="BK109" s="179">
        <v>0.746</v>
      </c>
      <c r="BL109" s="320">
        <v>0.52</v>
      </c>
      <c r="BM109" s="318">
        <v>0.0296</v>
      </c>
      <c r="BN109" s="319">
        <v>0.0161</v>
      </c>
      <c r="BO109" s="179">
        <v>1.52</v>
      </c>
      <c r="BP109" s="179">
        <v>0</v>
      </c>
      <c r="BQ109" s="179">
        <v>0.683</v>
      </c>
      <c r="BR109" s="179">
        <v>1</v>
      </c>
      <c r="BS109" s="320">
        <v>0.86</v>
      </c>
    </row>
    <row r="110" spans="11:71" ht="12.75">
      <c r="K110" s="47"/>
      <c r="L110" s="4"/>
      <c r="M110" s="43"/>
      <c r="N110" s="43"/>
      <c r="O110" s="44"/>
      <c r="P110" s="39"/>
      <c r="Q110" s="39"/>
      <c r="R110" s="39"/>
      <c r="S110" s="39"/>
      <c r="T110" s="24"/>
      <c r="U110" s="24"/>
      <c r="V110" s="24"/>
      <c r="W110" s="124"/>
      <c r="X110" s="3"/>
      <c r="Y110" s="41"/>
      <c r="Z110" s="79"/>
      <c r="AA110" s="32"/>
      <c r="AB110" s="32"/>
      <c r="AC110" s="32"/>
      <c r="AD110" s="32"/>
      <c r="AE110" s="32"/>
      <c r="AF110" s="135"/>
      <c r="AG110" s="135"/>
      <c r="AH110" s="135"/>
      <c r="AI110" s="327" t="s">
        <v>460</v>
      </c>
      <c r="AJ110" s="328">
        <v>25</v>
      </c>
      <c r="AK110" s="329">
        <v>0.705</v>
      </c>
      <c r="AL110" s="328">
        <v>13</v>
      </c>
      <c r="AM110" s="330">
        <v>1.22</v>
      </c>
      <c r="AN110" s="330">
        <v>1.72</v>
      </c>
      <c r="AO110" s="331">
        <v>414</v>
      </c>
      <c r="AP110" s="331">
        <v>468</v>
      </c>
      <c r="AQ110" s="13">
        <v>106</v>
      </c>
      <c r="AR110" s="318" t="s">
        <v>231</v>
      </c>
      <c r="AS110" s="319">
        <v>3.41</v>
      </c>
      <c r="AT110" s="179">
        <v>1</v>
      </c>
      <c r="AU110" s="179">
        <v>3</v>
      </c>
      <c r="AV110" s="179">
        <v>2.5</v>
      </c>
      <c r="AW110" s="179">
        <v>0.1875</v>
      </c>
      <c r="AX110" s="320">
        <v>0.5625</v>
      </c>
      <c r="AY110" s="318">
        <v>0.5625</v>
      </c>
      <c r="AZ110" s="319">
        <v>0.627</v>
      </c>
      <c r="BA110" s="179">
        <v>0.874</v>
      </c>
      <c r="BB110" s="179">
        <v>0.167</v>
      </c>
      <c r="BC110" s="179">
        <v>0.328</v>
      </c>
      <c r="BD110" s="179">
        <v>0.899</v>
      </c>
      <c r="BE110" s="320">
        <v>0.761</v>
      </c>
      <c r="BF110" s="318">
        <v>0.423</v>
      </c>
      <c r="BG110" s="319">
        <v>0.947</v>
      </c>
      <c r="BH110" s="179">
        <v>0.568</v>
      </c>
      <c r="BI110" s="179">
        <v>0.536</v>
      </c>
      <c r="BJ110" s="179">
        <v>0.303</v>
      </c>
      <c r="BK110" s="179">
        <v>0.753</v>
      </c>
      <c r="BL110" s="320">
        <v>0.521</v>
      </c>
      <c r="BM110" s="318">
        <v>0.013</v>
      </c>
      <c r="BN110" s="319">
        <v>0.007</v>
      </c>
      <c r="BO110" s="179">
        <v>1.53</v>
      </c>
      <c r="BP110" s="179">
        <v>0</v>
      </c>
      <c r="BQ110" s="179">
        <v>0.687</v>
      </c>
      <c r="BR110" s="179">
        <v>0.9115641278420724</v>
      </c>
      <c r="BS110" s="320">
        <v>0.86</v>
      </c>
    </row>
    <row r="111" spans="11:71" ht="12.75">
      <c r="K111" s="47"/>
      <c r="L111" s="4"/>
      <c r="M111" s="43"/>
      <c r="N111" s="5"/>
      <c r="O111" s="44"/>
      <c r="P111" s="44"/>
      <c r="Q111" s="44"/>
      <c r="R111" s="44"/>
      <c r="S111" s="44"/>
      <c r="T111" s="24"/>
      <c r="U111" s="24"/>
      <c r="V111" s="24"/>
      <c r="W111" s="91"/>
      <c r="X111" s="3"/>
      <c r="Y111" s="57"/>
      <c r="Z111" s="79"/>
      <c r="AA111" s="32"/>
      <c r="AB111" s="32"/>
      <c r="AC111" s="32"/>
      <c r="AD111" s="32"/>
      <c r="AE111" s="32"/>
      <c r="AF111" s="135"/>
      <c r="AG111" s="135"/>
      <c r="AH111" s="135"/>
      <c r="AI111" s="327" t="s">
        <v>461</v>
      </c>
      <c r="AJ111" s="328">
        <v>24.7</v>
      </c>
      <c r="AK111" s="329">
        <v>0.65</v>
      </c>
      <c r="AL111" s="328">
        <v>12.9</v>
      </c>
      <c r="AM111" s="330">
        <v>1.09</v>
      </c>
      <c r="AN111" s="330">
        <v>1.59</v>
      </c>
      <c r="AO111" s="331">
        <v>371</v>
      </c>
      <c r="AP111" s="331">
        <v>418</v>
      </c>
      <c r="AQ111" s="13">
        <v>107</v>
      </c>
      <c r="AR111" s="318" t="s">
        <v>232</v>
      </c>
      <c r="AS111" s="319">
        <v>7.7</v>
      </c>
      <c r="AT111" s="179">
        <v>2.26</v>
      </c>
      <c r="AU111" s="179">
        <v>3</v>
      </c>
      <c r="AV111" s="179">
        <v>2</v>
      </c>
      <c r="AW111" s="179">
        <v>0.5</v>
      </c>
      <c r="AX111" s="320">
        <v>0.8125</v>
      </c>
      <c r="AY111" s="318">
        <v>0.8125</v>
      </c>
      <c r="AZ111" s="319">
        <v>0.58</v>
      </c>
      <c r="BA111" s="179">
        <v>1.08</v>
      </c>
      <c r="BB111" s="179">
        <v>0.377</v>
      </c>
      <c r="BC111" s="179">
        <v>0.736</v>
      </c>
      <c r="BD111" s="179">
        <v>1.92</v>
      </c>
      <c r="BE111" s="320">
        <v>1.78</v>
      </c>
      <c r="BF111" s="318">
        <v>1</v>
      </c>
      <c r="BG111" s="319">
        <v>0.922</v>
      </c>
      <c r="BH111" s="179">
        <v>0.667</v>
      </c>
      <c r="BI111" s="179">
        <v>0.887</v>
      </c>
      <c r="BJ111" s="179">
        <v>0.47</v>
      </c>
      <c r="BK111" s="179">
        <v>0.543</v>
      </c>
      <c r="BL111" s="320">
        <v>0.425</v>
      </c>
      <c r="BM111" s="318">
        <v>0.192</v>
      </c>
      <c r="BN111" s="319">
        <v>0.0908</v>
      </c>
      <c r="BO111" s="179">
        <v>1.39</v>
      </c>
      <c r="BP111" s="179">
        <v>0</v>
      </c>
      <c r="BQ111" s="179">
        <v>0.41300000000000003</v>
      </c>
      <c r="BR111" s="179">
        <v>1</v>
      </c>
      <c r="BS111" s="320">
        <v>1.56</v>
      </c>
    </row>
    <row r="112" spans="11:71" ht="12.75">
      <c r="K112" s="47"/>
      <c r="L112" s="4"/>
      <c r="M112" s="43"/>
      <c r="N112" s="43"/>
      <c r="O112" s="44"/>
      <c r="P112" s="44"/>
      <c r="Q112" s="44"/>
      <c r="R112" s="44"/>
      <c r="S112" s="44"/>
      <c r="T112" s="24"/>
      <c r="U112" s="24"/>
      <c r="V112" s="24"/>
      <c r="W112" s="32"/>
      <c r="X112" s="87"/>
      <c r="Y112" s="79"/>
      <c r="Z112" s="79"/>
      <c r="AA112" s="32"/>
      <c r="AB112" s="32"/>
      <c r="AC112" s="32"/>
      <c r="AD112" s="32"/>
      <c r="AE112" s="32"/>
      <c r="AF112" s="135"/>
      <c r="AG112" s="135"/>
      <c r="AH112" s="135"/>
      <c r="AI112" s="327" t="s">
        <v>462</v>
      </c>
      <c r="AJ112" s="328">
        <v>24.5</v>
      </c>
      <c r="AK112" s="329">
        <v>0.605</v>
      </c>
      <c r="AL112" s="328">
        <v>12.9</v>
      </c>
      <c r="AM112" s="329">
        <v>0.96</v>
      </c>
      <c r="AN112" s="330">
        <v>1.46</v>
      </c>
      <c r="AO112" s="331">
        <v>329</v>
      </c>
      <c r="AP112" s="331">
        <v>370</v>
      </c>
      <c r="AQ112" s="13">
        <v>108</v>
      </c>
      <c r="AR112" s="318" t="s">
        <v>233</v>
      </c>
      <c r="AS112" s="319">
        <v>5.95</v>
      </c>
      <c r="AT112" s="179">
        <v>1.75</v>
      </c>
      <c r="AU112" s="179">
        <v>3</v>
      </c>
      <c r="AV112" s="179">
        <v>2</v>
      </c>
      <c r="AW112" s="179">
        <v>0.375</v>
      </c>
      <c r="AX112" s="320">
        <v>0.6875</v>
      </c>
      <c r="AY112" s="318">
        <v>0.6875</v>
      </c>
      <c r="AZ112" s="319">
        <v>0.535</v>
      </c>
      <c r="BA112" s="179">
        <v>1.03</v>
      </c>
      <c r="BB112" s="179">
        <v>0.291</v>
      </c>
      <c r="BC112" s="179">
        <v>0.668</v>
      </c>
      <c r="BD112" s="179">
        <v>1.54</v>
      </c>
      <c r="BE112" s="320">
        <v>1.39</v>
      </c>
      <c r="BF112" s="318">
        <v>0.779</v>
      </c>
      <c r="BG112" s="319">
        <v>0.937</v>
      </c>
      <c r="BH112" s="179">
        <v>0.539</v>
      </c>
      <c r="BI112" s="179">
        <v>0.679</v>
      </c>
      <c r="BJ112" s="179">
        <v>0.368</v>
      </c>
      <c r="BK112" s="179">
        <v>0.555</v>
      </c>
      <c r="BL112" s="320">
        <v>0.426</v>
      </c>
      <c r="BM112" s="318">
        <v>0.0855</v>
      </c>
      <c r="BN112" s="319">
        <v>0.0413</v>
      </c>
      <c r="BO112" s="179">
        <v>1.42</v>
      </c>
      <c r="BP112" s="179">
        <v>0</v>
      </c>
      <c r="BQ112" s="179">
        <v>0.426</v>
      </c>
      <c r="BR112" s="179">
        <v>1</v>
      </c>
      <c r="BS112" s="320">
        <v>1.56</v>
      </c>
    </row>
    <row r="113" spans="11:71" ht="12.75">
      <c r="K113" s="47"/>
      <c r="L113" s="4"/>
      <c r="M113" s="43"/>
      <c r="N113" s="39"/>
      <c r="O113" s="44"/>
      <c r="P113" s="44"/>
      <c r="Q113" s="44"/>
      <c r="R113" s="45"/>
      <c r="S113" s="44"/>
      <c r="T113" s="24"/>
      <c r="U113" s="24"/>
      <c r="V113" s="24"/>
      <c r="W113" s="87"/>
      <c r="X113" s="8"/>
      <c r="Y113" s="79"/>
      <c r="Z113" s="79"/>
      <c r="AA113" s="32"/>
      <c r="AB113" s="32"/>
      <c r="AC113" s="3"/>
      <c r="AD113" s="32"/>
      <c r="AE113" s="32"/>
      <c r="AF113" s="135"/>
      <c r="AG113" s="135"/>
      <c r="AH113" s="135"/>
      <c r="AI113" s="327" t="s">
        <v>463</v>
      </c>
      <c r="AJ113" s="328">
        <v>24.3</v>
      </c>
      <c r="AK113" s="329">
        <v>0.55</v>
      </c>
      <c r="AL113" s="328">
        <v>12.8</v>
      </c>
      <c r="AM113" s="329">
        <v>0.85</v>
      </c>
      <c r="AN113" s="330">
        <v>1.35</v>
      </c>
      <c r="AO113" s="331">
        <v>291</v>
      </c>
      <c r="AP113" s="331">
        <v>327</v>
      </c>
      <c r="AQ113" s="13">
        <v>109</v>
      </c>
      <c r="AR113" s="318" t="s">
        <v>234</v>
      </c>
      <c r="AS113" s="319">
        <v>5.03</v>
      </c>
      <c r="AT113" s="179">
        <v>1.48</v>
      </c>
      <c r="AU113" s="179">
        <v>3</v>
      </c>
      <c r="AV113" s="179">
        <v>2</v>
      </c>
      <c r="AW113" s="179">
        <v>0.3125</v>
      </c>
      <c r="AX113" s="320">
        <v>0.625</v>
      </c>
      <c r="AY113" s="318">
        <v>0.625</v>
      </c>
      <c r="AZ113" s="319">
        <v>0.511</v>
      </c>
      <c r="BA113" s="179">
        <v>1.01</v>
      </c>
      <c r="BB113" s="179">
        <v>0.247</v>
      </c>
      <c r="BC113" s="179">
        <v>0.633</v>
      </c>
      <c r="BD113" s="179">
        <v>1.32</v>
      </c>
      <c r="BE113" s="320">
        <v>1.19</v>
      </c>
      <c r="BF113" s="318">
        <v>0.662</v>
      </c>
      <c r="BG113" s="319">
        <v>0.945</v>
      </c>
      <c r="BH113" s="179">
        <v>0.467</v>
      </c>
      <c r="BI113" s="179">
        <v>0.572</v>
      </c>
      <c r="BJ113" s="179">
        <v>0.314</v>
      </c>
      <c r="BK113" s="179">
        <v>0.562</v>
      </c>
      <c r="BL113" s="320">
        <v>0.428</v>
      </c>
      <c r="BM113" s="318">
        <v>0.051</v>
      </c>
      <c r="BN113" s="319">
        <v>0.0248</v>
      </c>
      <c r="BO113" s="179">
        <v>1.44</v>
      </c>
      <c r="BP113" s="179">
        <v>0</v>
      </c>
      <c r="BQ113" s="179">
        <v>0.432</v>
      </c>
      <c r="BR113" s="179">
        <v>1</v>
      </c>
      <c r="BS113" s="320">
        <v>1.56</v>
      </c>
    </row>
    <row r="114" spans="11:71" ht="12.75">
      <c r="K114" s="44"/>
      <c r="L114" s="44"/>
      <c r="M114" s="44"/>
      <c r="N114" s="44"/>
      <c r="O114" s="44"/>
      <c r="P114" s="44"/>
      <c r="Q114" s="44"/>
      <c r="R114" s="44"/>
      <c r="S114" s="44"/>
      <c r="T114" s="24"/>
      <c r="U114" s="24"/>
      <c r="V114" s="24"/>
      <c r="W114" s="87"/>
      <c r="X114" s="8"/>
      <c r="Y114" s="79"/>
      <c r="Z114" s="41"/>
      <c r="AA114" s="32"/>
      <c r="AB114" s="32"/>
      <c r="AC114" s="32"/>
      <c r="AD114" s="32"/>
      <c r="AE114" s="32"/>
      <c r="AF114" s="135"/>
      <c r="AG114" s="135"/>
      <c r="AH114" s="135"/>
      <c r="AI114" s="327" t="s">
        <v>464</v>
      </c>
      <c r="AJ114" s="328">
        <v>24.1</v>
      </c>
      <c r="AK114" s="329">
        <v>0.5</v>
      </c>
      <c r="AL114" s="328">
        <v>12.8</v>
      </c>
      <c r="AM114" s="329">
        <v>0.75</v>
      </c>
      <c r="AN114" s="330">
        <v>1.25</v>
      </c>
      <c r="AO114" s="331">
        <v>258</v>
      </c>
      <c r="AP114" s="331">
        <v>289</v>
      </c>
      <c r="AQ114" s="13">
        <v>110</v>
      </c>
      <c r="AR114" s="318" t="s">
        <v>235</v>
      </c>
      <c r="AS114" s="319">
        <v>4.09</v>
      </c>
      <c r="AT114" s="179">
        <v>1.2</v>
      </c>
      <c r="AU114" s="179">
        <v>3</v>
      </c>
      <c r="AV114" s="179">
        <v>2</v>
      </c>
      <c r="AW114" s="179">
        <v>0.25</v>
      </c>
      <c r="AX114" s="320">
        <v>0.5625</v>
      </c>
      <c r="AY114" s="318">
        <v>0.5625</v>
      </c>
      <c r="AZ114" s="319">
        <v>0.487</v>
      </c>
      <c r="BA114" s="179">
        <v>0.98</v>
      </c>
      <c r="BB114" s="179">
        <v>0.2</v>
      </c>
      <c r="BC114" s="179">
        <v>0.596</v>
      </c>
      <c r="BD114" s="179">
        <v>1.09</v>
      </c>
      <c r="BE114" s="320">
        <v>0.969</v>
      </c>
      <c r="BF114" s="318">
        <v>0.541</v>
      </c>
      <c r="BG114" s="319">
        <v>0.953</v>
      </c>
      <c r="BH114" s="179">
        <v>0.39</v>
      </c>
      <c r="BI114" s="179">
        <v>0.463</v>
      </c>
      <c r="BJ114" s="179">
        <v>0.258</v>
      </c>
      <c r="BK114" s="179">
        <v>0.569</v>
      </c>
      <c r="BL114" s="320">
        <v>0.431</v>
      </c>
      <c r="BM114" s="318">
        <v>0.027</v>
      </c>
      <c r="BN114" s="319">
        <v>0.0132</v>
      </c>
      <c r="BO114" s="179">
        <v>1.45</v>
      </c>
      <c r="BP114" s="179">
        <v>0</v>
      </c>
      <c r="BQ114" s="179">
        <v>0.437</v>
      </c>
      <c r="BR114" s="179">
        <v>1</v>
      </c>
      <c r="BS114" s="320">
        <v>1.56</v>
      </c>
    </row>
    <row r="115" spans="11:71" ht="12.75">
      <c r="K115" s="102"/>
      <c r="L115" s="44"/>
      <c r="M115" s="61"/>
      <c r="N115" s="44"/>
      <c r="O115" s="44"/>
      <c r="P115" s="39"/>
      <c r="Q115" s="44"/>
      <c r="R115" s="68"/>
      <c r="S115" s="68"/>
      <c r="T115" s="24"/>
      <c r="U115" s="24"/>
      <c r="V115" s="24"/>
      <c r="W115" s="87"/>
      <c r="X115" s="8"/>
      <c r="Y115" s="79"/>
      <c r="Z115" s="79"/>
      <c r="AA115" s="32"/>
      <c r="AB115" s="32"/>
      <c r="AC115" s="32"/>
      <c r="AD115" s="32"/>
      <c r="AE115" s="32"/>
      <c r="AF115" s="135"/>
      <c r="AG115" s="135"/>
      <c r="AH115" s="135"/>
      <c r="AI115" s="327" t="s">
        <v>465</v>
      </c>
      <c r="AJ115" s="328">
        <v>24.5</v>
      </c>
      <c r="AK115" s="329">
        <v>0.55</v>
      </c>
      <c r="AL115" s="330">
        <v>9</v>
      </c>
      <c r="AM115" s="329">
        <v>0.98</v>
      </c>
      <c r="AN115" s="330">
        <v>1.48</v>
      </c>
      <c r="AO115" s="331">
        <v>245</v>
      </c>
      <c r="AP115" s="331">
        <v>280</v>
      </c>
      <c r="AQ115" s="13">
        <v>111</v>
      </c>
      <c r="AR115" s="318" t="s">
        <v>236</v>
      </c>
      <c r="AS115" s="319">
        <v>3.12</v>
      </c>
      <c r="AT115" s="179">
        <v>0.917</v>
      </c>
      <c r="AU115" s="179">
        <v>3</v>
      </c>
      <c r="AV115" s="179">
        <v>2</v>
      </c>
      <c r="AW115" s="179">
        <v>0.1875</v>
      </c>
      <c r="AX115" s="320">
        <v>0.5</v>
      </c>
      <c r="AY115" s="318">
        <v>0.5</v>
      </c>
      <c r="AZ115" s="319">
        <v>0.462</v>
      </c>
      <c r="BA115" s="179">
        <v>0.952</v>
      </c>
      <c r="BB115" s="179">
        <v>0.153</v>
      </c>
      <c r="BC115" s="179">
        <v>0.556</v>
      </c>
      <c r="BD115" s="179">
        <v>0.847</v>
      </c>
      <c r="BE115" s="320">
        <v>0.743</v>
      </c>
      <c r="BF115" s="318">
        <v>0.414</v>
      </c>
      <c r="BG115" s="319">
        <v>0.961</v>
      </c>
      <c r="BH115" s="179">
        <v>0.305</v>
      </c>
      <c r="BI115" s="179">
        <v>0.351</v>
      </c>
      <c r="BJ115" s="179">
        <v>0.198</v>
      </c>
      <c r="BK115" s="179">
        <v>0.577</v>
      </c>
      <c r="BL115" s="320">
        <v>0.435</v>
      </c>
      <c r="BM115" s="318">
        <v>0.0119</v>
      </c>
      <c r="BN115" s="319">
        <v>0.0058</v>
      </c>
      <c r="BO115" s="179">
        <v>1.46</v>
      </c>
      <c r="BP115" s="179">
        <v>0</v>
      </c>
      <c r="BQ115" s="179">
        <v>0.442</v>
      </c>
      <c r="BR115" s="179">
        <v>0.9115641278420724</v>
      </c>
      <c r="BS115" s="320">
        <v>1.56</v>
      </c>
    </row>
    <row r="116" spans="11:71" ht="12.75">
      <c r="K116" s="39"/>
      <c r="L116" s="44"/>
      <c r="M116" s="44"/>
      <c r="N116" s="50"/>
      <c r="O116" s="44"/>
      <c r="P116" s="44"/>
      <c r="Q116" s="44"/>
      <c r="R116" s="68"/>
      <c r="S116" s="68"/>
      <c r="T116" s="24"/>
      <c r="U116" s="24"/>
      <c r="V116" s="24"/>
      <c r="W116" s="87"/>
      <c r="X116" s="3"/>
      <c r="Y116" s="79"/>
      <c r="Z116" s="79"/>
      <c r="AA116" s="32"/>
      <c r="AB116" s="32"/>
      <c r="AC116" s="32"/>
      <c r="AD116" s="32"/>
      <c r="AE116" s="32"/>
      <c r="AF116" s="135"/>
      <c r="AG116" s="135"/>
      <c r="AH116" s="135"/>
      <c r="AI116" s="327" t="s">
        <v>466</v>
      </c>
      <c r="AJ116" s="328">
        <v>24.3</v>
      </c>
      <c r="AK116" s="329">
        <v>0.515</v>
      </c>
      <c r="AL116" s="330">
        <v>9.07</v>
      </c>
      <c r="AM116" s="329">
        <v>0.875</v>
      </c>
      <c r="AN116" s="330">
        <v>1.38</v>
      </c>
      <c r="AO116" s="331">
        <v>222</v>
      </c>
      <c r="AP116" s="331">
        <v>254</v>
      </c>
      <c r="AQ116" s="13">
        <v>112</v>
      </c>
      <c r="AR116" s="318" t="s">
        <v>237</v>
      </c>
      <c r="AS116" s="319">
        <v>7.65</v>
      </c>
      <c r="AT116" s="179">
        <v>2.25</v>
      </c>
      <c r="AU116" s="179">
        <v>2.5</v>
      </c>
      <c r="AV116" s="179">
        <v>2.5</v>
      </c>
      <c r="AW116" s="179">
        <v>0.5</v>
      </c>
      <c r="AX116" s="320">
        <v>0.75</v>
      </c>
      <c r="AY116" s="318">
        <v>0.75</v>
      </c>
      <c r="AZ116" s="319">
        <v>0.803</v>
      </c>
      <c r="BA116" s="179">
        <v>0.803</v>
      </c>
      <c r="BB116" s="179">
        <v>0.45</v>
      </c>
      <c r="BC116" s="179">
        <v>0.45</v>
      </c>
      <c r="BD116" s="179">
        <v>1.22</v>
      </c>
      <c r="BE116" s="320">
        <v>1.29</v>
      </c>
      <c r="BF116" s="318">
        <v>0.716</v>
      </c>
      <c r="BG116" s="319">
        <v>0.735</v>
      </c>
      <c r="BH116" s="179">
        <v>1.22</v>
      </c>
      <c r="BI116" s="179">
        <v>1.29</v>
      </c>
      <c r="BJ116" s="179">
        <v>0.716</v>
      </c>
      <c r="BK116" s="179">
        <v>0.735</v>
      </c>
      <c r="BL116" s="320">
        <v>0.481</v>
      </c>
      <c r="BM116" s="318">
        <v>0.188</v>
      </c>
      <c r="BN116" s="319">
        <v>0.0791</v>
      </c>
      <c r="BO116" s="179">
        <v>1.3</v>
      </c>
      <c r="BP116" s="179">
        <v>0.639</v>
      </c>
      <c r="BQ116" s="179">
        <v>1</v>
      </c>
      <c r="BR116" s="179">
        <v>1</v>
      </c>
      <c r="BS116" s="320">
        <v>0</v>
      </c>
    </row>
    <row r="117" spans="11:71" ht="12.75">
      <c r="K117" s="71"/>
      <c r="L117" s="40"/>
      <c r="M117" s="50"/>
      <c r="N117" s="44"/>
      <c r="O117" s="44"/>
      <c r="P117" s="44"/>
      <c r="Q117" s="44"/>
      <c r="R117" s="68"/>
      <c r="S117" s="68"/>
      <c r="T117" s="24"/>
      <c r="U117" s="24"/>
      <c r="V117" s="24"/>
      <c r="W117" s="87"/>
      <c r="X117" s="8"/>
      <c r="Y117" s="79"/>
      <c r="Z117" s="22"/>
      <c r="AA117" s="32"/>
      <c r="AB117" s="32"/>
      <c r="AC117" s="32"/>
      <c r="AD117" s="32"/>
      <c r="AE117" s="32"/>
      <c r="AF117" s="135"/>
      <c r="AG117" s="135"/>
      <c r="AH117" s="135"/>
      <c r="AI117" s="327" t="s">
        <v>467</v>
      </c>
      <c r="AJ117" s="328">
        <v>24.1</v>
      </c>
      <c r="AK117" s="329">
        <v>0.47</v>
      </c>
      <c r="AL117" s="330">
        <v>9.02</v>
      </c>
      <c r="AM117" s="329">
        <v>0.77</v>
      </c>
      <c r="AN117" s="330">
        <v>1.27</v>
      </c>
      <c r="AO117" s="331">
        <v>196</v>
      </c>
      <c r="AP117" s="331">
        <v>224</v>
      </c>
      <c r="AQ117" s="13">
        <v>113</v>
      </c>
      <c r="AR117" s="318" t="s">
        <v>238</v>
      </c>
      <c r="AS117" s="319">
        <v>5.9</v>
      </c>
      <c r="AT117" s="179">
        <v>1.73</v>
      </c>
      <c r="AU117" s="179">
        <v>2.5</v>
      </c>
      <c r="AV117" s="179">
        <v>2.5</v>
      </c>
      <c r="AW117" s="179">
        <v>0.375</v>
      </c>
      <c r="AX117" s="320">
        <v>0.625</v>
      </c>
      <c r="AY117" s="318">
        <v>0.625</v>
      </c>
      <c r="AZ117" s="319">
        <v>0.758</v>
      </c>
      <c r="BA117" s="179">
        <v>0.758</v>
      </c>
      <c r="BB117" s="179">
        <v>0.347</v>
      </c>
      <c r="BC117" s="179">
        <v>0.347</v>
      </c>
      <c r="BD117" s="179">
        <v>0.972</v>
      </c>
      <c r="BE117" s="320">
        <v>1.01</v>
      </c>
      <c r="BF117" s="318">
        <v>0.558</v>
      </c>
      <c r="BG117" s="319">
        <v>0.749</v>
      </c>
      <c r="BH117" s="179">
        <v>0.972</v>
      </c>
      <c r="BI117" s="179">
        <v>1</v>
      </c>
      <c r="BJ117" s="179">
        <v>0.558</v>
      </c>
      <c r="BK117" s="179">
        <v>0.749</v>
      </c>
      <c r="BL117" s="320">
        <v>0.481</v>
      </c>
      <c r="BM117" s="318">
        <v>0.0833</v>
      </c>
      <c r="BN117" s="319">
        <v>0.0362</v>
      </c>
      <c r="BO117" s="179">
        <v>1.33</v>
      </c>
      <c r="BP117" s="179">
        <v>0.633</v>
      </c>
      <c r="BQ117" s="179">
        <v>1</v>
      </c>
      <c r="BR117" s="179">
        <v>1</v>
      </c>
      <c r="BS117" s="320">
        <v>0</v>
      </c>
    </row>
    <row r="118" spans="11:71" ht="12.75">
      <c r="K118" s="71"/>
      <c r="L118" s="40"/>
      <c r="M118" s="50"/>
      <c r="N118" s="44"/>
      <c r="O118" s="44"/>
      <c r="P118" s="39"/>
      <c r="Q118" s="39"/>
      <c r="R118" s="68"/>
      <c r="S118" s="68"/>
      <c r="T118" s="24"/>
      <c r="U118" s="24"/>
      <c r="V118" s="24"/>
      <c r="W118" s="87"/>
      <c r="X118" s="8"/>
      <c r="Y118" s="79"/>
      <c r="Z118" s="79"/>
      <c r="AA118" s="32"/>
      <c r="AB118" s="32"/>
      <c r="AC118" s="32"/>
      <c r="AD118" s="32"/>
      <c r="AE118" s="32"/>
      <c r="AF118" s="135"/>
      <c r="AG118" s="135"/>
      <c r="AH118" s="135"/>
      <c r="AI118" s="327" t="s">
        <v>468</v>
      </c>
      <c r="AJ118" s="328">
        <v>23.9</v>
      </c>
      <c r="AK118" s="329">
        <v>0.44</v>
      </c>
      <c r="AL118" s="330">
        <v>8.99</v>
      </c>
      <c r="AM118" s="329">
        <v>0.68</v>
      </c>
      <c r="AN118" s="330">
        <v>1.18</v>
      </c>
      <c r="AO118" s="331">
        <v>176</v>
      </c>
      <c r="AP118" s="331">
        <v>200</v>
      </c>
      <c r="AQ118" s="13">
        <v>114</v>
      </c>
      <c r="AR118" s="318" t="s">
        <v>239</v>
      </c>
      <c r="AS118" s="319">
        <v>4.98</v>
      </c>
      <c r="AT118" s="179">
        <v>1.46</v>
      </c>
      <c r="AU118" s="179">
        <v>2.5</v>
      </c>
      <c r="AV118" s="179">
        <v>2.5</v>
      </c>
      <c r="AW118" s="179">
        <v>0.3125</v>
      </c>
      <c r="AX118" s="320">
        <v>0.5625</v>
      </c>
      <c r="AY118" s="318">
        <v>0.5625</v>
      </c>
      <c r="AZ118" s="319">
        <v>0.735</v>
      </c>
      <c r="BA118" s="179">
        <v>0.735</v>
      </c>
      <c r="BB118" s="179">
        <v>0.293</v>
      </c>
      <c r="BC118" s="179">
        <v>0.293</v>
      </c>
      <c r="BD118" s="179">
        <v>0.837</v>
      </c>
      <c r="BE118" s="320">
        <v>0.853</v>
      </c>
      <c r="BF118" s="318">
        <v>0.474</v>
      </c>
      <c r="BG118" s="319">
        <v>0.756</v>
      </c>
      <c r="BH118" s="179">
        <v>0.837</v>
      </c>
      <c r="BI118" s="179">
        <v>0.853</v>
      </c>
      <c r="BJ118" s="179">
        <v>0.474</v>
      </c>
      <c r="BK118" s="179">
        <v>0.756</v>
      </c>
      <c r="BL118" s="320">
        <v>0.481</v>
      </c>
      <c r="BM118" s="318">
        <v>0.0495</v>
      </c>
      <c r="BN118" s="319">
        <v>0.0218</v>
      </c>
      <c r="BO118" s="179">
        <v>1.35</v>
      </c>
      <c r="BP118" s="179">
        <v>0.632</v>
      </c>
      <c r="BQ118" s="179">
        <v>1</v>
      </c>
      <c r="BR118" s="179">
        <v>1</v>
      </c>
      <c r="BS118" s="320">
        <v>0</v>
      </c>
    </row>
    <row r="119" spans="11:71" ht="12.75">
      <c r="K119" s="71"/>
      <c r="L119" s="40"/>
      <c r="M119" s="50"/>
      <c r="N119" s="43"/>
      <c r="O119" s="44"/>
      <c r="P119" s="44"/>
      <c r="Q119" s="44"/>
      <c r="R119" s="68"/>
      <c r="S119" s="68"/>
      <c r="T119" s="24"/>
      <c r="U119" s="24"/>
      <c r="V119" s="24"/>
      <c r="W119" s="79"/>
      <c r="X119" s="32"/>
      <c r="Y119" s="32"/>
      <c r="Z119" s="79"/>
      <c r="AA119" s="32"/>
      <c r="AB119" s="32"/>
      <c r="AC119" s="32"/>
      <c r="AD119" s="32"/>
      <c r="AE119" s="32"/>
      <c r="AF119" s="135"/>
      <c r="AG119" s="135"/>
      <c r="AH119" s="135"/>
      <c r="AI119" s="327" t="s">
        <v>469</v>
      </c>
      <c r="AJ119" s="328">
        <v>23.7</v>
      </c>
      <c r="AK119" s="329">
        <v>0.415</v>
      </c>
      <c r="AL119" s="330">
        <v>8.97</v>
      </c>
      <c r="AM119" s="329">
        <v>0.585</v>
      </c>
      <c r="AN119" s="330">
        <v>1.09</v>
      </c>
      <c r="AO119" s="331">
        <v>154</v>
      </c>
      <c r="AP119" s="331">
        <v>177</v>
      </c>
      <c r="AQ119" s="13">
        <v>115</v>
      </c>
      <c r="AR119" s="318" t="s">
        <v>240</v>
      </c>
      <c r="AS119" s="319">
        <v>4.04</v>
      </c>
      <c r="AT119" s="179">
        <v>1.19</v>
      </c>
      <c r="AU119" s="179">
        <v>2.5</v>
      </c>
      <c r="AV119" s="179">
        <v>2.5</v>
      </c>
      <c r="AW119" s="179">
        <v>0.25</v>
      </c>
      <c r="AX119" s="320">
        <v>0.5</v>
      </c>
      <c r="AY119" s="318">
        <v>0.5</v>
      </c>
      <c r="AZ119" s="319">
        <v>0.711</v>
      </c>
      <c r="BA119" s="179">
        <v>0.711</v>
      </c>
      <c r="BB119" s="179">
        <v>0.237</v>
      </c>
      <c r="BC119" s="179">
        <v>0.237</v>
      </c>
      <c r="BD119" s="179">
        <v>0.692</v>
      </c>
      <c r="BE119" s="320">
        <v>0.695</v>
      </c>
      <c r="BF119" s="318">
        <v>0.387</v>
      </c>
      <c r="BG119" s="319">
        <v>0.764</v>
      </c>
      <c r="BH119" s="179">
        <v>0.692</v>
      </c>
      <c r="BI119" s="179">
        <v>0.694</v>
      </c>
      <c r="BJ119" s="179">
        <v>0.387</v>
      </c>
      <c r="BK119" s="179">
        <v>0.764</v>
      </c>
      <c r="BL119" s="320">
        <v>0.482</v>
      </c>
      <c r="BM119" s="318">
        <v>0.0261</v>
      </c>
      <c r="BN119" s="319">
        <v>0.0116</v>
      </c>
      <c r="BO119" s="179">
        <v>1.36</v>
      </c>
      <c r="BP119" s="179">
        <v>0.629</v>
      </c>
      <c r="BQ119" s="179">
        <v>1</v>
      </c>
      <c r="BR119" s="179">
        <v>1</v>
      </c>
      <c r="BS119" s="320">
        <v>0</v>
      </c>
    </row>
    <row r="120" spans="11:71" ht="12.75">
      <c r="K120" s="47"/>
      <c r="L120" s="40"/>
      <c r="M120" s="45"/>
      <c r="N120" s="73"/>
      <c r="O120" s="44"/>
      <c r="P120" s="44"/>
      <c r="Q120" s="44"/>
      <c r="R120" s="68"/>
      <c r="S120" s="68"/>
      <c r="T120" s="24"/>
      <c r="U120" s="24"/>
      <c r="V120" s="24"/>
      <c r="W120" s="87"/>
      <c r="X120" s="8"/>
      <c r="Y120" s="79"/>
      <c r="Z120" s="79"/>
      <c r="AA120" s="32"/>
      <c r="AB120" s="32"/>
      <c r="AC120" s="32"/>
      <c r="AD120" s="32"/>
      <c r="AE120" s="32"/>
      <c r="AF120" s="135"/>
      <c r="AG120" s="135"/>
      <c r="AH120" s="135"/>
      <c r="AI120" s="327" t="s">
        <v>470</v>
      </c>
      <c r="AJ120" s="328">
        <v>23.7</v>
      </c>
      <c r="AK120" s="329">
        <v>0.43</v>
      </c>
      <c r="AL120" s="330">
        <v>7.04</v>
      </c>
      <c r="AM120" s="329">
        <v>0.59</v>
      </c>
      <c r="AN120" s="330">
        <v>1.09</v>
      </c>
      <c r="AO120" s="331">
        <v>131</v>
      </c>
      <c r="AP120" s="331">
        <v>153</v>
      </c>
      <c r="AQ120" s="13">
        <v>116</v>
      </c>
      <c r="AR120" s="318" t="s">
        <v>241</v>
      </c>
      <c r="AS120" s="319">
        <v>3.06</v>
      </c>
      <c r="AT120" s="179">
        <v>0.901</v>
      </c>
      <c r="AU120" s="179">
        <v>2.5</v>
      </c>
      <c r="AV120" s="179">
        <v>2.5</v>
      </c>
      <c r="AW120" s="179">
        <v>0.1875</v>
      </c>
      <c r="AX120" s="320">
        <v>0.4375</v>
      </c>
      <c r="AY120" s="318">
        <v>0.4375</v>
      </c>
      <c r="AZ120" s="319">
        <v>0.687</v>
      </c>
      <c r="BA120" s="179">
        <v>0.687</v>
      </c>
      <c r="BB120" s="179">
        <v>0.18</v>
      </c>
      <c r="BC120" s="179">
        <v>0.18</v>
      </c>
      <c r="BD120" s="179">
        <v>0.535</v>
      </c>
      <c r="BE120" s="320">
        <v>0.529</v>
      </c>
      <c r="BF120" s="318">
        <v>0.295</v>
      </c>
      <c r="BG120" s="319">
        <v>0.771</v>
      </c>
      <c r="BH120" s="179">
        <v>0.535</v>
      </c>
      <c r="BI120" s="179">
        <v>0.528</v>
      </c>
      <c r="BJ120" s="179">
        <v>0.295</v>
      </c>
      <c r="BK120" s="179">
        <v>0.771</v>
      </c>
      <c r="BL120" s="320">
        <v>0.482</v>
      </c>
      <c r="BM120" s="318">
        <v>0.0114</v>
      </c>
      <c r="BN120" s="319">
        <v>0.0051</v>
      </c>
      <c r="BO120" s="179">
        <v>1.38</v>
      </c>
      <c r="BP120" s="179">
        <v>0.628</v>
      </c>
      <c r="BQ120" s="179">
        <v>1</v>
      </c>
      <c r="BR120" s="179">
        <v>0.9829701065350602</v>
      </c>
      <c r="BS120" s="320">
        <v>0</v>
      </c>
    </row>
    <row r="121" spans="11:71" ht="12.75">
      <c r="K121" s="47"/>
      <c r="L121" s="40"/>
      <c r="M121" s="85"/>
      <c r="N121" s="73"/>
      <c r="O121" s="44"/>
      <c r="P121" s="44"/>
      <c r="Q121" s="44"/>
      <c r="R121" s="68"/>
      <c r="S121" s="68"/>
      <c r="T121" s="24"/>
      <c r="U121" s="24"/>
      <c r="V121" s="24"/>
      <c r="W121" s="87"/>
      <c r="X121" s="8"/>
      <c r="Y121" s="79"/>
      <c r="Z121" s="79"/>
      <c r="AA121" s="32"/>
      <c r="AB121" s="32"/>
      <c r="AC121" s="32"/>
      <c r="AD121" s="32"/>
      <c r="AE121" s="32"/>
      <c r="AF121" s="135"/>
      <c r="AG121" s="135"/>
      <c r="AH121" s="135"/>
      <c r="AI121" s="327" t="s">
        <v>471</v>
      </c>
      <c r="AJ121" s="328">
        <v>23.6</v>
      </c>
      <c r="AK121" s="329">
        <v>0.395</v>
      </c>
      <c r="AL121" s="330">
        <v>7.01</v>
      </c>
      <c r="AM121" s="329">
        <v>0.505</v>
      </c>
      <c r="AN121" s="330">
        <v>1.01</v>
      </c>
      <c r="AO121" s="331">
        <v>114</v>
      </c>
      <c r="AP121" s="331">
        <v>134</v>
      </c>
      <c r="AQ121" s="13">
        <v>117</v>
      </c>
      <c r="AR121" s="318" t="s">
        <v>242</v>
      </c>
      <c r="AS121" s="319">
        <v>5.3</v>
      </c>
      <c r="AT121" s="179">
        <v>1.56</v>
      </c>
      <c r="AU121" s="179">
        <v>2.5</v>
      </c>
      <c r="AV121" s="179">
        <v>2</v>
      </c>
      <c r="AW121" s="179">
        <v>0.375</v>
      </c>
      <c r="AX121" s="320">
        <v>0.625</v>
      </c>
      <c r="AY121" s="318">
        <v>0.625</v>
      </c>
      <c r="AZ121" s="319">
        <v>0.578</v>
      </c>
      <c r="BA121" s="179">
        <v>0.826</v>
      </c>
      <c r="BB121" s="179">
        <v>0.311</v>
      </c>
      <c r="BC121" s="179">
        <v>0.425</v>
      </c>
      <c r="BD121" s="179">
        <v>0.914</v>
      </c>
      <c r="BE121" s="320">
        <v>0.982</v>
      </c>
      <c r="BF121" s="318">
        <v>0.546</v>
      </c>
      <c r="BG121" s="319">
        <v>0.766</v>
      </c>
      <c r="BH121" s="179">
        <v>0.513</v>
      </c>
      <c r="BI121" s="179">
        <v>0.657</v>
      </c>
      <c r="BJ121" s="179">
        <v>0.361</v>
      </c>
      <c r="BK121" s="179">
        <v>0.574</v>
      </c>
      <c r="BL121" s="320">
        <v>0.419</v>
      </c>
      <c r="BM121" s="318">
        <v>0.0746</v>
      </c>
      <c r="BN121" s="319">
        <v>0.0268</v>
      </c>
      <c r="BO121" s="179">
        <v>1.21</v>
      </c>
      <c r="BP121" s="179">
        <v>0</v>
      </c>
      <c r="BQ121" s="179">
        <v>0.613</v>
      </c>
      <c r="BR121" s="179">
        <v>1</v>
      </c>
      <c r="BS121" s="320">
        <v>0.85</v>
      </c>
    </row>
    <row r="122" spans="11:71" ht="12.75">
      <c r="K122" s="71"/>
      <c r="L122" s="126"/>
      <c r="M122" s="50"/>
      <c r="N122" s="50"/>
      <c r="O122" s="44"/>
      <c r="P122" s="44"/>
      <c r="Q122" s="44"/>
      <c r="R122" s="68"/>
      <c r="S122" s="68"/>
      <c r="T122" s="24"/>
      <c r="U122" s="24"/>
      <c r="V122" s="24"/>
      <c r="W122" s="90"/>
      <c r="X122" s="10"/>
      <c r="Y122" s="79"/>
      <c r="Z122" s="78"/>
      <c r="AA122" s="32"/>
      <c r="AB122" s="32"/>
      <c r="AC122" s="32"/>
      <c r="AD122" s="32"/>
      <c r="AE122" s="32"/>
      <c r="AF122" s="135"/>
      <c r="AG122" s="135"/>
      <c r="AH122" s="135"/>
      <c r="AI122" s="327" t="s">
        <v>472</v>
      </c>
      <c r="AJ122" s="328">
        <v>23</v>
      </c>
      <c r="AK122" s="329">
        <v>0.91</v>
      </c>
      <c r="AL122" s="328">
        <v>12.6</v>
      </c>
      <c r="AM122" s="330">
        <v>1.63</v>
      </c>
      <c r="AN122" s="330">
        <v>2.13</v>
      </c>
      <c r="AO122" s="331">
        <v>461</v>
      </c>
      <c r="AP122" s="331">
        <v>530</v>
      </c>
      <c r="AQ122" s="13">
        <v>118</v>
      </c>
      <c r="AR122" s="318" t="s">
        <v>243</v>
      </c>
      <c r="AS122" s="319">
        <v>4.49</v>
      </c>
      <c r="AT122" s="179">
        <v>1.32</v>
      </c>
      <c r="AU122" s="179">
        <v>2.5</v>
      </c>
      <c r="AV122" s="179">
        <v>2</v>
      </c>
      <c r="AW122" s="179">
        <v>0.3125</v>
      </c>
      <c r="AX122" s="320">
        <v>0.5625</v>
      </c>
      <c r="AY122" s="318">
        <v>0.5625</v>
      </c>
      <c r="AZ122" s="319">
        <v>0.555</v>
      </c>
      <c r="BA122" s="179">
        <v>0.803</v>
      </c>
      <c r="BB122" s="179">
        <v>0.264</v>
      </c>
      <c r="BC122" s="179">
        <v>0.391</v>
      </c>
      <c r="BD122" s="179">
        <v>0.79</v>
      </c>
      <c r="BE122" s="320">
        <v>0.839</v>
      </c>
      <c r="BF122" s="318">
        <v>0.465</v>
      </c>
      <c r="BG122" s="319">
        <v>0.774</v>
      </c>
      <c r="BH122" s="179">
        <v>0.446</v>
      </c>
      <c r="BI122" s="179">
        <v>0.557</v>
      </c>
      <c r="BJ122" s="179">
        <v>0.309</v>
      </c>
      <c r="BK122" s="179">
        <v>0.581</v>
      </c>
      <c r="BL122" s="320">
        <v>0.42</v>
      </c>
      <c r="BM122" s="318">
        <v>0.0444</v>
      </c>
      <c r="BN122" s="319">
        <v>0.0162</v>
      </c>
      <c r="BO122" s="179">
        <v>1.23</v>
      </c>
      <c r="BP122" s="179">
        <v>0</v>
      </c>
      <c r="BQ122" s="179">
        <v>0.618</v>
      </c>
      <c r="BR122" s="179">
        <v>1</v>
      </c>
      <c r="BS122" s="320">
        <v>0.85</v>
      </c>
    </row>
    <row r="123" spans="11:71" ht="12.75">
      <c r="K123" s="47"/>
      <c r="L123" s="40"/>
      <c r="M123" s="100"/>
      <c r="N123" s="73"/>
      <c r="O123" s="44"/>
      <c r="P123" s="44"/>
      <c r="Q123" s="44"/>
      <c r="R123" s="68"/>
      <c r="S123" s="68"/>
      <c r="T123" s="24"/>
      <c r="U123" s="24"/>
      <c r="V123" s="24"/>
      <c r="W123" s="90"/>
      <c r="X123" s="6"/>
      <c r="Y123" s="79"/>
      <c r="Z123" s="78"/>
      <c r="AA123" s="32"/>
      <c r="AB123" s="32"/>
      <c r="AC123" s="32"/>
      <c r="AD123" s="32"/>
      <c r="AE123" s="32"/>
      <c r="AF123" s="135"/>
      <c r="AG123" s="135"/>
      <c r="AH123" s="135"/>
      <c r="AI123" s="327" t="s">
        <v>473</v>
      </c>
      <c r="AJ123" s="328">
        <v>22.7</v>
      </c>
      <c r="AK123" s="329">
        <v>0.83</v>
      </c>
      <c r="AL123" s="328">
        <v>12.5</v>
      </c>
      <c r="AM123" s="330">
        <v>1.48</v>
      </c>
      <c r="AN123" s="330">
        <v>1.98</v>
      </c>
      <c r="AO123" s="331">
        <v>417</v>
      </c>
      <c r="AP123" s="331">
        <v>476</v>
      </c>
      <c r="AQ123" s="13">
        <v>119</v>
      </c>
      <c r="AR123" s="318" t="s">
        <v>244</v>
      </c>
      <c r="AS123" s="319">
        <v>3.65</v>
      </c>
      <c r="AT123" s="179">
        <v>1.07</v>
      </c>
      <c r="AU123" s="179">
        <v>2.5</v>
      </c>
      <c r="AV123" s="179">
        <v>2</v>
      </c>
      <c r="AW123" s="179">
        <v>0.25</v>
      </c>
      <c r="AX123" s="320">
        <v>0.5</v>
      </c>
      <c r="AY123" s="318">
        <v>0.5</v>
      </c>
      <c r="AZ123" s="319">
        <v>0.532</v>
      </c>
      <c r="BA123" s="179">
        <v>0.779</v>
      </c>
      <c r="BB123" s="179">
        <v>0.214</v>
      </c>
      <c r="BC123" s="179">
        <v>0.356</v>
      </c>
      <c r="BD123" s="179">
        <v>0.656</v>
      </c>
      <c r="BE123" s="320">
        <v>0.688</v>
      </c>
      <c r="BF123" s="318">
        <v>0.381</v>
      </c>
      <c r="BG123" s="319">
        <v>0.782</v>
      </c>
      <c r="BH123" s="179">
        <v>0.372</v>
      </c>
      <c r="BI123" s="179">
        <v>0.454</v>
      </c>
      <c r="BJ123" s="179">
        <v>0.253</v>
      </c>
      <c r="BK123" s="179">
        <v>0.589</v>
      </c>
      <c r="BL123" s="320">
        <v>0.423</v>
      </c>
      <c r="BM123" s="318">
        <v>0.0235</v>
      </c>
      <c r="BN123" s="319">
        <v>0.0087</v>
      </c>
      <c r="BO123" s="179">
        <v>1.25</v>
      </c>
      <c r="BP123" s="179">
        <v>0</v>
      </c>
      <c r="BQ123" s="179">
        <v>0.624</v>
      </c>
      <c r="BR123" s="179">
        <v>1</v>
      </c>
      <c r="BS123" s="320">
        <v>0.85</v>
      </c>
    </row>
    <row r="124" spans="11:71" ht="12.75">
      <c r="K124" s="75"/>
      <c r="L124" s="40"/>
      <c r="M124" s="50"/>
      <c r="N124" s="63"/>
      <c r="O124" s="43"/>
      <c r="P124" s="44"/>
      <c r="Q124" s="85"/>
      <c r="R124" s="44"/>
      <c r="S124" s="40"/>
      <c r="T124" s="24"/>
      <c r="U124" s="24"/>
      <c r="V124" s="24"/>
      <c r="W124" s="79"/>
      <c r="X124" s="32"/>
      <c r="Y124" s="32"/>
      <c r="Z124" s="79"/>
      <c r="AA124" s="32"/>
      <c r="AB124" s="32"/>
      <c r="AC124" s="32"/>
      <c r="AD124" s="32"/>
      <c r="AE124" s="32"/>
      <c r="AF124" s="135"/>
      <c r="AG124" s="135"/>
      <c r="AH124" s="135"/>
      <c r="AI124" s="327" t="s">
        <v>474</v>
      </c>
      <c r="AJ124" s="328">
        <v>22.5</v>
      </c>
      <c r="AK124" s="329">
        <v>0.75</v>
      </c>
      <c r="AL124" s="328">
        <v>12.4</v>
      </c>
      <c r="AM124" s="330">
        <v>1.36</v>
      </c>
      <c r="AN124" s="330">
        <v>1.86</v>
      </c>
      <c r="AO124" s="331">
        <v>380</v>
      </c>
      <c r="AP124" s="331">
        <v>432</v>
      </c>
      <c r="AQ124" s="13">
        <v>120</v>
      </c>
      <c r="AR124" s="318" t="s">
        <v>245</v>
      </c>
      <c r="AS124" s="319">
        <v>2.78</v>
      </c>
      <c r="AT124" s="179">
        <v>0.818</v>
      </c>
      <c r="AU124" s="179">
        <v>2.5</v>
      </c>
      <c r="AV124" s="179">
        <v>2</v>
      </c>
      <c r="AW124" s="179">
        <v>0.1875</v>
      </c>
      <c r="AX124" s="320">
        <v>0.4375</v>
      </c>
      <c r="AY124" s="318">
        <v>0.4375</v>
      </c>
      <c r="AZ124" s="319">
        <v>0.508</v>
      </c>
      <c r="BA124" s="179">
        <v>0.754</v>
      </c>
      <c r="BB124" s="179">
        <v>0.164</v>
      </c>
      <c r="BC124" s="179">
        <v>0.318</v>
      </c>
      <c r="BD124" s="179">
        <v>0.511</v>
      </c>
      <c r="BE124" s="320">
        <v>0.529</v>
      </c>
      <c r="BF124" s="318">
        <v>0.293</v>
      </c>
      <c r="BG124" s="319">
        <v>0.79</v>
      </c>
      <c r="BH124" s="179">
        <v>0.292</v>
      </c>
      <c r="BI124" s="179">
        <v>0.347</v>
      </c>
      <c r="BJ124" s="179">
        <v>0.195</v>
      </c>
      <c r="BK124" s="179">
        <v>0.597</v>
      </c>
      <c r="BL124" s="320">
        <v>0.426</v>
      </c>
      <c r="BM124" s="318">
        <v>0.0103</v>
      </c>
      <c r="BN124" s="319">
        <v>0.0038</v>
      </c>
      <c r="BO124" s="179">
        <v>1.26</v>
      </c>
      <c r="BP124" s="179">
        <v>0</v>
      </c>
      <c r="BQ124" s="179">
        <v>0.628</v>
      </c>
      <c r="BR124" s="179">
        <v>0.9829701065350602</v>
      </c>
      <c r="BS124" s="320">
        <v>0.85</v>
      </c>
    </row>
    <row r="125" spans="11:71" ht="12.75">
      <c r="K125" s="75"/>
      <c r="L125" s="40"/>
      <c r="M125" s="50"/>
      <c r="N125" s="63"/>
      <c r="O125" s="43"/>
      <c r="P125" s="44"/>
      <c r="Q125" s="44"/>
      <c r="R125" s="68"/>
      <c r="S125" s="68"/>
      <c r="T125" s="24"/>
      <c r="U125" s="24"/>
      <c r="V125" s="24"/>
      <c r="W125" s="87"/>
      <c r="X125" s="8"/>
      <c r="Y125" s="79"/>
      <c r="Z125" s="79"/>
      <c r="AA125" s="32"/>
      <c r="AB125" s="32"/>
      <c r="AC125" s="32"/>
      <c r="AD125" s="32"/>
      <c r="AE125" s="32"/>
      <c r="AF125" s="135"/>
      <c r="AG125" s="135"/>
      <c r="AH125" s="135"/>
      <c r="AI125" s="327" t="s">
        <v>475</v>
      </c>
      <c r="AJ125" s="328">
        <v>22.1</v>
      </c>
      <c r="AK125" s="329">
        <v>0.72</v>
      </c>
      <c r="AL125" s="328">
        <v>12.5</v>
      </c>
      <c r="AM125" s="330">
        <v>1.15</v>
      </c>
      <c r="AN125" s="330">
        <v>1.65</v>
      </c>
      <c r="AO125" s="331">
        <v>329</v>
      </c>
      <c r="AP125" s="331">
        <v>373</v>
      </c>
      <c r="AQ125" s="13">
        <v>121</v>
      </c>
      <c r="AR125" s="318" t="s">
        <v>246</v>
      </c>
      <c r="AS125" s="319">
        <v>4.65</v>
      </c>
      <c r="AT125" s="179">
        <v>1.37</v>
      </c>
      <c r="AU125" s="179">
        <v>2</v>
      </c>
      <c r="AV125" s="179">
        <v>2</v>
      </c>
      <c r="AW125" s="179">
        <v>0.375</v>
      </c>
      <c r="AX125" s="320">
        <v>0.625</v>
      </c>
      <c r="AY125" s="318">
        <v>0.625</v>
      </c>
      <c r="AZ125" s="319">
        <v>0.632</v>
      </c>
      <c r="BA125" s="179">
        <v>0.632</v>
      </c>
      <c r="BB125" s="179">
        <v>0.342</v>
      </c>
      <c r="BC125" s="179">
        <v>0.342</v>
      </c>
      <c r="BD125" s="179">
        <v>0.476</v>
      </c>
      <c r="BE125" s="320">
        <v>0.629</v>
      </c>
      <c r="BF125" s="318">
        <v>0.348</v>
      </c>
      <c r="BG125" s="319">
        <v>0.591</v>
      </c>
      <c r="BH125" s="179">
        <v>0.476</v>
      </c>
      <c r="BI125" s="179">
        <v>0.628</v>
      </c>
      <c r="BJ125" s="179">
        <v>0.348</v>
      </c>
      <c r="BK125" s="179">
        <v>0.591</v>
      </c>
      <c r="BL125" s="320">
        <v>0.386</v>
      </c>
      <c r="BM125" s="318">
        <v>0.0658</v>
      </c>
      <c r="BN125" s="319">
        <v>0.0174</v>
      </c>
      <c r="BO125" s="179">
        <v>1.04</v>
      </c>
      <c r="BP125" s="179">
        <v>0.638</v>
      </c>
      <c r="BQ125" s="179">
        <v>1</v>
      </c>
      <c r="BR125" s="179">
        <v>1</v>
      </c>
      <c r="BS125" s="320">
        <v>0</v>
      </c>
    </row>
    <row r="126" spans="11:71" ht="12.75">
      <c r="K126" s="71"/>
      <c r="L126" s="4"/>
      <c r="M126" s="50"/>
      <c r="N126" s="50"/>
      <c r="O126" s="44"/>
      <c r="P126" s="44"/>
      <c r="Q126" s="44"/>
      <c r="R126" s="44"/>
      <c r="S126" s="44"/>
      <c r="T126" s="24"/>
      <c r="U126" s="24"/>
      <c r="V126" s="24"/>
      <c r="W126" s="87"/>
      <c r="X126" s="8"/>
      <c r="Y126" s="79"/>
      <c r="Z126" s="41"/>
      <c r="AA126" s="32"/>
      <c r="AB126" s="32"/>
      <c r="AC126" s="32"/>
      <c r="AD126" s="32"/>
      <c r="AE126" s="32"/>
      <c r="AF126" s="135"/>
      <c r="AG126" s="135"/>
      <c r="AH126" s="135"/>
      <c r="AI126" s="327" t="s">
        <v>476</v>
      </c>
      <c r="AJ126" s="328">
        <v>21.8</v>
      </c>
      <c r="AK126" s="329">
        <v>0.65</v>
      </c>
      <c r="AL126" s="328">
        <v>12.4</v>
      </c>
      <c r="AM126" s="330">
        <v>1.04</v>
      </c>
      <c r="AN126" s="330">
        <v>1.54</v>
      </c>
      <c r="AO126" s="331">
        <v>295</v>
      </c>
      <c r="AP126" s="331">
        <v>333</v>
      </c>
      <c r="AQ126" s="13">
        <v>122</v>
      </c>
      <c r="AR126" s="318" t="s">
        <v>247</v>
      </c>
      <c r="AS126" s="319">
        <v>3.94</v>
      </c>
      <c r="AT126" s="179">
        <v>1.16</v>
      </c>
      <c r="AU126" s="179">
        <v>2</v>
      </c>
      <c r="AV126" s="179">
        <v>2</v>
      </c>
      <c r="AW126" s="179">
        <v>0.3125</v>
      </c>
      <c r="AX126" s="320">
        <v>0.5625</v>
      </c>
      <c r="AY126" s="318">
        <v>0.5625</v>
      </c>
      <c r="AZ126" s="319">
        <v>0.609</v>
      </c>
      <c r="BA126" s="179">
        <v>0.609</v>
      </c>
      <c r="BB126" s="179">
        <v>0.29</v>
      </c>
      <c r="BC126" s="179">
        <v>0.29</v>
      </c>
      <c r="BD126" s="179">
        <v>0.414</v>
      </c>
      <c r="BE126" s="320">
        <v>0.537</v>
      </c>
      <c r="BF126" s="318">
        <v>0.298</v>
      </c>
      <c r="BG126" s="319">
        <v>0.598</v>
      </c>
      <c r="BH126" s="179">
        <v>0.414</v>
      </c>
      <c r="BI126" s="179">
        <v>0.536</v>
      </c>
      <c r="BJ126" s="179">
        <v>0.298</v>
      </c>
      <c r="BK126" s="179">
        <v>0.598</v>
      </c>
      <c r="BL126" s="320">
        <v>0.386</v>
      </c>
      <c r="BM126" s="318">
        <v>0.0393</v>
      </c>
      <c r="BN126" s="319">
        <v>0.0106</v>
      </c>
      <c r="BO126" s="179">
        <v>1.06</v>
      </c>
      <c r="BP126" s="179">
        <v>0.635</v>
      </c>
      <c r="BQ126" s="179">
        <v>1</v>
      </c>
      <c r="BR126" s="179">
        <v>1</v>
      </c>
      <c r="BS126" s="320">
        <v>0</v>
      </c>
    </row>
    <row r="127" spans="11:71" ht="12.75">
      <c r="K127" s="44"/>
      <c r="L127" s="44"/>
      <c r="M127" s="44"/>
      <c r="N127" s="44"/>
      <c r="O127" s="44"/>
      <c r="P127" s="44"/>
      <c r="Q127" s="44"/>
      <c r="R127" s="45"/>
      <c r="S127" s="40"/>
      <c r="T127" s="24"/>
      <c r="U127" s="24"/>
      <c r="V127" s="24"/>
      <c r="W127" s="79"/>
      <c r="X127" s="32"/>
      <c r="Y127" s="32"/>
      <c r="Z127" s="79"/>
      <c r="AA127" s="32"/>
      <c r="AB127" s="32"/>
      <c r="AC127" s="32"/>
      <c r="AD127" s="32"/>
      <c r="AE127" s="32"/>
      <c r="AF127" s="135"/>
      <c r="AG127" s="135"/>
      <c r="AH127" s="135"/>
      <c r="AI127" s="327" t="s">
        <v>477</v>
      </c>
      <c r="AJ127" s="328">
        <v>21.7</v>
      </c>
      <c r="AK127" s="329">
        <v>0.6</v>
      </c>
      <c r="AL127" s="328">
        <v>12.4</v>
      </c>
      <c r="AM127" s="329">
        <v>0.96</v>
      </c>
      <c r="AN127" s="330">
        <v>1.46</v>
      </c>
      <c r="AO127" s="331">
        <v>273</v>
      </c>
      <c r="AP127" s="331">
        <v>307</v>
      </c>
      <c r="AQ127" s="13">
        <v>123</v>
      </c>
      <c r="AR127" s="318" t="s">
        <v>248</v>
      </c>
      <c r="AS127" s="319">
        <v>3.21</v>
      </c>
      <c r="AT127" s="179">
        <v>0.944</v>
      </c>
      <c r="AU127" s="179">
        <v>2</v>
      </c>
      <c r="AV127" s="179">
        <v>2</v>
      </c>
      <c r="AW127" s="179">
        <v>0.25</v>
      </c>
      <c r="AX127" s="320">
        <v>0.5</v>
      </c>
      <c r="AY127" s="318">
        <v>0.5</v>
      </c>
      <c r="AZ127" s="319">
        <v>0.586</v>
      </c>
      <c r="BA127" s="179">
        <v>0.586</v>
      </c>
      <c r="BB127" s="179">
        <v>0.236</v>
      </c>
      <c r="BC127" s="179">
        <v>0.236</v>
      </c>
      <c r="BD127" s="179">
        <v>0.346</v>
      </c>
      <c r="BE127" s="320">
        <v>0.44</v>
      </c>
      <c r="BF127" s="318">
        <v>0.244</v>
      </c>
      <c r="BG127" s="319">
        <v>0.605</v>
      </c>
      <c r="BH127" s="179">
        <v>0.346</v>
      </c>
      <c r="BI127" s="179">
        <v>0.44</v>
      </c>
      <c r="BJ127" s="179">
        <v>0.244</v>
      </c>
      <c r="BK127" s="179">
        <v>0.605</v>
      </c>
      <c r="BL127" s="320">
        <v>0.387</v>
      </c>
      <c r="BM127" s="318">
        <v>0.0209</v>
      </c>
      <c r="BN127" s="319">
        <v>0.0057</v>
      </c>
      <c r="BO127" s="179">
        <v>1.08</v>
      </c>
      <c r="BP127" s="179">
        <v>0.633</v>
      </c>
      <c r="BQ127" s="179">
        <v>1</v>
      </c>
      <c r="BR127" s="179">
        <v>1</v>
      </c>
      <c r="BS127" s="320">
        <v>0</v>
      </c>
    </row>
    <row r="128" spans="11:71" ht="12.75">
      <c r="K128" s="44"/>
      <c r="L128" s="44"/>
      <c r="M128" s="44"/>
      <c r="N128" s="44"/>
      <c r="O128" s="44"/>
      <c r="P128" s="44"/>
      <c r="Q128" s="85"/>
      <c r="R128" s="44"/>
      <c r="S128" s="40"/>
      <c r="T128" s="24"/>
      <c r="U128" s="24"/>
      <c r="V128" s="24"/>
      <c r="W128" s="87"/>
      <c r="X128" s="8"/>
      <c r="Y128" s="79"/>
      <c r="Z128" s="79"/>
      <c r="AA128" s="32"/>
      <c r="AB128" s="32"/>
      <c r="AC128" s="32"/>
      <c r="AD128" s="32"/>
      <c r="AE128" s="32"/>
      <c r="AF128" s="135"/>
      <c r="AG128" s="135"/>
      <c r="AH128" s="135"/>
      <c r="AI128" s="327" t="s">
        <v>478</v>
      </c>
      <c r="AJ128" s="328">
        <v>21.5</v>
      </c>
      <c r="AK128" s="329">
        <v>0.55</v>
      </c>
      <c r="AL128" s="328">
        <v>12.3</v>
      </c>
      <c r="AM128" s="329">
        <v>0.875</v>
      </c>
      <c r="AN128" s="330">
        <v>1.38</v>
      </c>
      <c r="AO128" s="331">
        <v>249</v>
      </c>
      <c r="AP128" s="331">
        <v>279</v>
      </c>
      <c r="AQ128" s="13">
        <v>124</v>
      </c>
      <c r="AR128" s="318" t="s">
        <v>249</v>
      </c>
      <c r="AS128" s="319">
        <v>2.46</v>
      </c>
      <c r="AT128" s="179">
        <v>0.722</v>
      </c>
      <c r="AU128" s="179">
        <v>2</v>
      </c>
      <c r="AV128" s="179">
        <v>2</v>
      </c>
      <c r="AW128" s="179">
        <v>0.1875</v>
      </c>
      <c r="AX128" s="320">
        <v>0.4375</v>
      </c>
      <c r="AY128" s="318">
        <v>0.4375</v>
      </c>
      <c r="AZ128" s="319">
        <v>0.561</v>
      </c>
      <c r="BA128" s="179">
        <v>0.561</v>
      </c>
      <c r="BB128" s="179">
        <v>0.18</v>
      </c>
      <c r="BC128" s="179">
        <v>0.18</v>
      </c>
      <c r="BD128" s="179">
        <v>0.271</v>
      </c>
      <c r="BE128" s="320">
        <v>0.338</v>
      </c>
      <c r="BF128" s="318">
        <v>0.188</v>
      </c>
      <c r="BG128" s="319">
        <v>0.612</v>
      </c>
      <c r="BH128" s="179">
        <v>0.271</v>
      </c>
      <c r="BI128" s="179">
        <v>0.338</v>
      </c>
      <c r="BJ128" s="179">
        <v>0.188</v>
      </c>
      <c r="BK128" s="179">
        <v>0.612</v>
      </c>
      <c r="BL128" s="320">
        <v>0.389</v>
      </c>
      <c r="BM128" s="318">
        <v>0.0092</v>
      </c>
      <c r="BN128" s="319">
        <v>0.0025</v>
      </c>
      <c r="BO128" s="179">
        <v>1.09</v>
      </c>
      <c r="BP128" s="179">
        <v>0.632</v>
      </c>
      <c r="BQ128" s="179">
        <v>1</v>
      </c>
      <c r="BR128" s="179">
        <v>1</v>
      </c>
      <c r="BS128" s="320">
        <v>0</v>
      </c>
    </row>
    <row r="129" spans="11:71" ht="12.75">
      <c r="K129" s="44"/>
      <c r="L129" s="39"/>
      <c r="M129" s="7"/>
      <c r="N129" s="39"/>
      <c r="O129" s="44"/>
      <c r="P129" s="85"/>
      <c r="Q129" s="44"/>
      <c r="R129" s="44"/>
      <c r="S129" s="44"/>
      <c r="T129" s="24"/>
      <c r="U129" s="24"/>
      <c r="V129" s="24"/>
      <c r="W129" s="87"/>
      <c r="X129" s="8"/>
      <c r="Y129" s="79"/>
      <c r="Z129" s="79"/>
      <c r="AA129" s="32"/>
      <c r="AB129" s="32"/>
      <c r="AC129" s="32"/>
      <c r="AD129" s="32"/>
      <c r="AE129" s="32"/>
      <c r="AF129" s="135"/>
      <c r="AG129" s="135"/>
      <c r="AH129" s="135"/>
      <c r="AI129" s="327" t="s">
        <v>479</v>
      </c>
      <c r="AJ129" s="328">
        <v>21.4</v>
      </c>
      <c r="AK129" s="329">
        <v>0.5</v>
      </c>
      <c r="AL129" s="328">
        <v>12.3</v>
      </c>
      <c r="AM129" s="329">
        <v>0.8</v>
      </c>
      <c r="AN129" s="330">
        <v>1.3</v>
      </c>
      <c r="AO129" s="331">
        <v>227</v>
      </c>
      <c r="AP129" s="331">
        <v>253</v>
      </c>
      <c r="AQ129" s="13">
        <v>125</v>
      </c>
      <c r="AR129" s="318" t="s">
        <v>250</v>
      </c>
      <c r="AS129" s="319">
        <v>1.67</v>
      </c>
      <c r="AT129" s="179">
        <v>0.491</v>
      </c>
      <c r="AU129" s="179">
        <v>2</v>
      </c>
      <c r="AV129" s="179">
        <v>2</v>
      </c>
      <c r="AW129" s="179">
        <v>0.125</v>
      </c>
      <c r="AX129" s="320">
        <v>0.375</v>
      </c>
      <c r="AY129" s="318">
        <v>0.375</v>
      </c>
      <c r="AZ129" s="319">
        <v>0.534</v>
      </c>
      <c r="BA129" s="179">
        <v>0.534</v>
      </c>
      <c r="BB129" s="179">
        <v>0.123</v>
      </c>
      <c r="BC129" s="179">
        <v>0.123</v>
      </c>
      <c r="BD129" s="179">
        <v>0.189</v>
      </c>
      <c r="BE129" s="320">
        <v>0.23</v>
      </c>
      <c r="BF129" s="318">
        <v>0.129</v>
      </c>
      <c r="BG129" s="319">
        <v>0.62</v>
      </c>
      <c r="BH129" s="179">
        <v>0.189</v>
      </c>
      <c r="BI129" s="179">
        <v>0.23</v>
      </c>
      <c r="BJ129" s="179">
        <v>0.129</v>
      </c>
      <c r="BK129" s="179">
        <v>0.62</v>
      </c>
      <c r="BL129" s="320">
        <v>0.391</v>
      </c>
      <c r="BM129" s="318">
        <v>0.0029</v>
      </c>
      <c r="BN129" s="319">
        <v>0.0008</v>
      </c>
      <c r="BO129" s="179">
        <v>1.1</v>
      </c>
      <c r="BP129" s="179">
        <v>0.633</v>
      </c>
      <c r="BQ129" s="179">
        <v>1</v>
      </c>
      <c r="BR129" s="179">
        <v>0.912</v>
      </c>
      <c r="BS129" s="320">
        <v>0</v>
      </c>
    </row>
    <row r="130" spans="11:42" ht="12.75">
      <c r="K130" s="49"/>
      <c r="L130" s="44"/>
      <c r="M130" s="44"/>
      <c r="N130" s="44"/>
      <c r="O130" s="44"/>
      <c r="P130" s="44"/>
      <c r="Q130" s="44"/>
      <c r="R130" s="44"/>
      <c r="S130" s="44"/>
      <c r="T130" s="24"/>
      <c r="U130" s="24"/>
      <c r="V130" s="24"/>
      <c r="W130" s="66"/>
      <c r="X130" s="23"/>
      <c r="Y130" s="41"/>
      <c r="Z130" s="79"/>
      <c r="AA130" s="32"/>
      <c r="AB130" s="32"/>
      <c r="AC130" s="3"/>
      <c r="AD130" s="32"/>
      <c r="AE130" s="32"/>
      <c r="AF130" s="135"/>
      <c r="AG130" s="135"/>
      <c r="AH130" s="135"/>
      <c r="AI130" s="327" t="s">
        <v>480</v>
      </c>
      <c r="AJ130" s="328">
        <v>21.6</v>
      </c>
      <c r="AK130" s="329">
        <v>0.58</v>
      </c>
      <c r="AL130" s="330">
        <v>8.42</v>
      </c>
      <c r="AM130" s="329">
        <v>0.93</v>
      </c>
      <c r="AN130" s="330">
        <v>1.43</v>
      </c>
      <c r="AO130" s="331">
        <v>192</v>
      </c>
      <c r="AP130" s="331">
        <v>221</v>
      </c>
    </row>
    <row r="131" spans="11:42" ht="12.75">
      <c r="K131" s="43"/>
      <c r="L131" s="7"/>
      <c r="M131" s="43"/>
      <c r="N131" s="39"/>
      <c r="O131" s="44"/>
      <c r="P131" s="44"/>
      <c r="Q131" s="44"/>
      <c r="R131" s="44"/>
      <c r="S131" s="44"/>
      <c r="T131" s="24"/>
      <c r="U131" s="24"/>
      <c r="V131" s="24"/>
      <c r="W131" s="32"/>
      <c r="X131" s="32"/>
      <c r="Y131" s="32"/>
      <c r="Z131" s="79"/>
      <c r="AA131" s="32"/>
      <c r="AB131" s="32"/>
      <c r="AC131" s="32"/>
      <c r="AD131" s="32"/>
      <c r="AE131" s="32"/>
      <c r="AF131" s="32"/>
      <c r="AG131" s="32"/>
      <c r="AH131" s="32"/>
      <c r="AI131" s="327" t="s">
        <v>481</v>
      </c>
      <c r="AJ131" s="328">
        <v>21.4</v>
      </c>
      <c r="AK131" s="329">
        <v>0.515</v>
      </c>
      <c r="AL131" s="330">
        <v>8.36</v>
      </c>
      <c r="AM131" s="329">
        <v>0.835</v>
      </c>
      <c r="AN131" s="330">
        <v>1.34</v>
      </c>
      <c r="AO131" s="331">
        <v>171</v>
      </c>
      <c r="AP131" s="331">
        <v>196</v>
      </c>
    </row>
    <row r="132" spans="11:42" ht="12.75">
      <c r="K132" s="47"/>
      <c r="L132" s="4"/>
      <c r="M132" s="43"/>
      <c r="N132" s="43"/>
      <c r="O132" s="44"/>
      <c r="P132" s="44"/>
      <c r="Q132" s="44"/>
      <c r="R132" s="68"/>
      <c r="S132" s="68"/>
      <c r="T132" s="24"/>
      <c r="U132" s="24"/>
      <c r="V132" s="24"/>
      <c r="W132" s="92"/>
      <c r="X132" s="3"/>
      <c r="Y132" s="104"/>
      <c r="Z132" s="79"/>
      <c r="AA132" s="32"/>
      <c r="AB132" s="32"/>
      <c r="AC132" s="32"/>
      <c r="AD132" s="32"/>
      <c r="AE132" s="32"/>
      <c r="AF132" s="344"/>
      <c r="AG132" s="344"/>
      <c r="AH132" s="344"/>
      <c r="AI132" s="327" t="s">
        <v>482</v>
      </c>
      <c r="AJ132" s="328">
        <v>21.2</v>
      </c>
      <c r="AK132" s="329">
        <v>0.455</v>
      </c>
      <c r="AL132" s="330">
        <v>8.3</v>
      </c>
      <c r="AM132" s="329">
        <v>0.74</v>
      </c>
      <c r="AN132" s="330">
        <v>1.24</v>
      </c>
      <c r="AO132" s="331">
        <v>151</v>
      </c>
      <c r="AP132" s="331">
        <v>172</v>
      </c>
    </row>
    <row r="133" spans="11:42" ht="12.75">
      <c r="K133" s="47"/>
      <c r="L133" s="4"/>
      <c r="M133" s="43"/>
      <c r="N133" s="43"/>
      <c r="O133" s="44"/>
      <c r="P133" s="44"/>
      <c r="Q133" s="44"/>
      <c r="R133" s="85"/>
      <c r="S133" s="44"/>
      <c r="T133" s="24"/>
      <c r="U133" s="24"/>
      <c r="V133" s="24"/>
      <c r="W133" s="92"/>
      <c r="X133" s="3"/>
      <c r="Y133" s="41"/>
      <c r="Z133" s="79"/>
      <c r="AA133" s="32"/>
      <c r="AB133" s="32"/>
      <c r="AC133" s="32"/>
      <c r="AD133" s="32"/>
      <c r="AE133" s="32"/>
      <c r="AF133" s="32"/>
      <c r="AG133" s="32"/>
      <c r="AH133" s="32"/>
      <c r="AI133" s="327" t="s">
        <v>483</v>
      </c>
      <c r="AJ133" s="328">
        <v>21.1</v>
      </c>
      <c r="AK133" s="329">
        <v>0.43</v>
      </c>
      <c r="AL133" s="330">
        <v>8.27</v>
      </c>
      <c r="AM133" s="329">
        <v>0.685</v>
      </c>
      <c r="AN133" s="330">
        <v>1.19</v>
      </c>
      <c r="AO133" s="331">
        <v>140</v>
      </c>
      <c r="AP133" s="331">
        <v>160</v>
      </c>
    </row>
    <row r="134" spans="11:66" ht="15.75">
      <c r="K134" s="44"/>
      <c r="L134" s="44"/>
      <c r="M134" s="44"/>
      <c r="N134" s="44"/>
      <c r="O134" s="44"/>
      <c r="P134" s="44"/>
      <c r="Q134" s="44"/>
      <c r="R134" s="68"/>
      <c r="S134" s="68"/>
      <c r="T134" s="24"/>
      <c r="U134" s="24"/>
      <c r="V134" s="24"/>
      <c r="W134" s="32"/>
      <c r="X134" s="32"/>
      <c r="Y134" s="32"/>
      <c r="Z134" s="79"/>
      <c r="AA134" s="32"/>
      <c r="AB134" s="32"/>
      <c r="AC134" s="32"/>
      <c r="AD134" s="32"/>
      <c r="AE134" s="32"/>
      <c r="AF134" s="342"/>
      <c r="AG134" s="342"/>
      <c r="AH134" s="342"/>
      <c r="AI134" s="327" t="s">
        <v>484</v>
      </c>
      <c r="AJ134" s="328">
        <v>21</v>
      </c>
      <c r="AK134" s="329">
        <v>0.4</v>
      </c>
      <c r="AL134" s="330">
        <v>8.24</v>
      </c>
      <c r="AM134" s="329">
        <v>0.615</v>
      </c>
      <c r="AN134" s="330">
        <v>1.12</v>
      </c>
      <c r="AO134" s="331">
        <v>127</v>
      </c>
      <c r="AP134" s="331">
        <v>144</v>
      </c>
      <c r="AR134" s="189" t="s">
        <v>252</v>
      </c>
      <c r="AS134" s="190"/>
      <c r="AT134" s="190"/>
      <c r="AU134" s="190"/>
      <c r="AV134" s="190"/>
      <c r="AW134" s="190"/>
      <c r="AX134" s="190"/>
      <c r="AY134" s="190"/>
      <c r="AZ134" s="191"/>
      <c r="BA134" s="46"/>
      <c r="BB134" s="135"/>
      <c r="BC134" s="20"/>
      <c r="BD134" s="62" t="s">
        <v>34</v>
      </c>
      <c r="BE134" s="46"/>
      <c r="BF134" s="33"/>
      <c r="BG134" s="46"/>
      <c r="BH134" s="46"/>
      <c r="BI134" s="22"/>
      <c r="BJ134" s="46"/>
      <c r="BK134" s="46"/>
      <c r="BL134" s="46"/>
      <c r="BM134" s="46"/>
      <c r="BN134" s="46"/>
    </row>
    <row r="135" spans="11:66" ht="12.75">
      <c r="K135" s="43"/>
      <c r="L135" s="7"/>
      <c r="M135" s="43"/>
      <c r="N135" s="39"/>
      <c r="O135" s="44"/>
      <c r="P135" s="44"/>
      <c r="Q135" s="44"/>
      <c r="R135" s="44"/>
      <c r="S135" s="39"/>
      <c r="T135" s="24"/>
      <c r="U135" s="24"/>
      <c r="V135" s="24"/>
      <c r="W135" s="87"/>
      <c r="X135" s="12"/>
      <c r="Y135" s="79"/>
      <c r="Z135" s="79"/>
      <c r="AA135" s="32"/>
      <c r="AB135" s="32"/>
      <c r="AC135" s="32"/>
      <c r="AD135" s="32"/>
      <c r="AE135" s="32"/>
      <c r="AF135" s="32"/>
      <c r="AG135" s="32"/>
      <c r="AH135" s="32"/>
      <c r="AI135" s="327" t="s">
        <v>485</v>
      </c>
      <c r="AJ135" s="328">
        <v>20.8</v>
      </c>
      <c r="AK135" s="329">
        <v>0.375</v>
      </c>
      <c r="AL135" s="330">
        <v>8.22</v>
      </c>
      <c r="AM135" s="329">
        <v>0.522</v>
      </c>
      <c r="AN135" s="330">
        <v>1.02</v>
      </c>
      <c r="AO135" s="331">
        <v>110</v>
      </c>
      <c r="AP135" s="331">
        <v>126</v>
      </c>
      <c r="AR135" s="16" t="s">
        <v>253</v>
      </c>
      <c r="AS135" s="192"/>
      <c r="AT135" s="192"/>
      <c r="AU135" s="192"/>
      <c r="AV135" s="192"/>
      <c r="AW135" s="192"/>
      <c r="AX135" s="192"/>
      <c r="AY135" s="192"/>
      <c r="AZ135" s="193"/>
      <c r="BA135" s="21"/>
      <c r="BB135" s="23"/>
      <c r="BC135" s="20"/>
      <c r="BD135" s="46"/>
      <c r="BE135" s="46"/>
      <c r="BF135" s="33"/>
      <c r="BG135" s="46"/>
      <c r="BH135" s="46"/>
      <c r="BI135" s="22"/>
      <c r="BJ135" s="46"/>
      <c r="BK135" s="46"/>
      <c r="BL135" s="46"/>
      <c r="BM135" s="46"/>
      <c r="BN135" s="46"/>
    </row>
    <row r="136" spans="11:67" ht="12.75">
      <c r="K136" s="47"/>
      <c r="L136" s="4"/>
      <c r="M136" s="43"/>
      <c r="N136" s="39"/>
      <c r="O136" s="44"/>
      <c r="P136" s="44"/>
      <c r="Q136" s="44"/>
      <c r="R136" s="85"/>
      <c r="S136" s="44"/>
      <c r="T136" s="24"/>
      <c r="U136" s="24"/>
      <c r="V136" s="24"/>
      <c r="W136" s="87"/>
      <c r="X136" s="8"/>
      <c r="Y136" s="79"/>
      <c r="Z136" s="79"/>
      <c r="AA136" s="32"/>
      <c r="AB136" s="32"/>
      <c r="AC136" s="32"/>
      <c r="AD136" s="32"/>
      <c r="AE136" s="32"/>
      <c r="AF136" s="32"/>
      <c r="AG136" s="32"/>
      <c r="AH136" s="32"/>
      <c r="AI136" s="327" t="s">
        <v>486</v>
      </c>
      <c r="AJ136" s="328">
        <v>20.6</v>
      </c>
      <c r="AK136" s="329">
        <v>0.35</v>
      </c>
      <c r="AL136" s="330">
        <v>8.14</v>
      </c>
      <c r="AM136" s="329">
        <v>0.43</v>
      </c>
      <c r="AN136" s="329">
        <v>0.93</v>
      </c>
      <c r="AO136" s="328">
        <v>93</v>
      </c>
      <c r="AP136" s="331">
        <v>107</v>
      </c>
      <c r="AR136" s="136" t="s">
        <v>254</v>
      </c>
      <c r="AS136" s="194"/>
      <c r="AT136" s="194"/>
      <c r="AU136" s="194"/>
      <c r="AV136" s="194"/>
      <c r="AW136" s="194"/>
      <c r="AX136" s="194"/>
      <c r="AY136" s="194"/>
      <c r="AZ136" s="195"/>
      <c r="BA136" s="21"/>
      <c r="BB136" s="196">
        <v>0.125</v>
      </c>
      <c r="BC136" s="46"/>
      <c r="BD136" s="48" t="s">
        <v>255</v>
      </c>
      <c r="BE136" s="6">
        <f>AT142</f>
        <v>6</v>
      </c>
      <c r="BF136" s="41" t="s">
        <v>19</v>
      </c>
      <c r="BG136" s="41" t="s">
        <v>256</v>
      </c>
      <c r="BH136" s="46"/>
      <c r="BI136" s="22"/>
      <c r="BJ136" s="46"/>
      <c r="BK136" s="46"/>
      <c r="BL136" s="265" t="s">
        <v>339</v>
      </c>
      <c r="BM136" s="138"/>
      <c r="BN136" s="138"/>
      <c r="BO136" s="347"/>
    </row>
    <row r="137" spans="11:67" ht="12.75">
      <c r="K137" s="44"/>
      <c r="L137" s="44"/>
      <c r="M137" s="44"/>
      <c r="N137" s="44"/>
      <c r="O137" s="44"/>
      <c r="P137" s="44"/>
      <c r="Q137" s="44"/>
      <c r="R137" s="45"/>
      <c r="S137" s="39"/>
      <c r="T137" s="24"/>
      <c r="U137" s="24"/>
      <c r="V137" s="24"/>
      <c r="W137" s="87"/>
      <c r="X137" s="8"/>
      <c r="Y137" s="79"/>
      <c r="Z137" s="79"/>
      <c r="AA137" s="32"/>
      <c r="AB137" s="32"/>
      <c r="AC137" s="32"/>
      <c r="AD137" s="32"/>
      <c r="AE137" s="32"/>
      <c r="AF137" s="135"/>
      <c r="AG137" s="135"/>
      <c r="AH137" s="135"/>
      <c r="AI137" s="327" t="s">
        <v>487</v>
      </c>
      <c r="AJ137" s="328">
        <v>21.1</v>
      </c>
      <c r="AK137" s="329">
        <v>0.405</v>
      </c>
      <c r="AL137" s="330">
        <v>6.56</v>
      </c>
      <c r="AM137" s="329">
        <v>0.65</v>
      </c>
      <c r="AN137" s="330">
        <v>1.15</v>
      </c>
      <c r="AO137" s="331">
        <v>111</v>
      </c>
      <c r="AP137" s="331">
        <v>129</v>
      </c>
      <c r="AR137" s="197" t="s">
        <v>12</v>
      </c>
      <c r="AS137" s="348"/>
      <c r="AT137" s="317"/>
      <c r="AU137" s="317"/>
      <c r="AV137" s="317"/>
      <c r="AW137" s="198" t="s">
        <v>54</v>
      </c>
      <c r="AX137" s="349"/>
      <c r="AY137" s="350"/>
      <c r="AZ137" s="351"/>
      <c r="BA137" s="22"/>
      <c r="BB137" s="196">
        <v>0.1875</v>
      </c>
      <c r="BC137" s="46"/>
      <c r="BD137" s="48" t="s">
        <v>257</v>
      </c>
      <c r="BE137" s="6">
        <f>$AT$143</f>
        <v>8</v>
      </c>
      <c r="BF137" s="41" t="s">
        <v>19</v>
      </c>
      <c r="BG137" s="41" t="s">
        <v>258</v>
      </c>
      <c r="BH137" s="46"/>
      <c r="BI137" s="22"/>
      <c r="BJ137" s="46"/>
      <c r="BK137" s="46"/>
      <c r="BL137" s="392" t="s">
        <v>299</v>
      </c>
      <c r="BM137" s="352">
        <f>ROUNDDOWN(BE140,1)</f>
        <v>0.3</v>
      </c>
      <c r="BN137" s="199">
        <f>BE140</f>
        <v>0.3541666666666667</v>
      </c>
      <c r="BO137" s="353">
        <f>ROUNDDOWN(BE140,1)+0.1</f>
        <v>0.4</v>
      </c>
    </row>
    <row r="138" spans="11:67" ht="12.75">
      <c r="K138" s="43"/>
      <c r="L138" s="7"/>
      <c r="M138" s="7"/>
      <c r="N138" s="39"/>
      <c r="O138" s="44"/>
      <c r="P138" s="39"/>
      <c r="Q138" s="39"/>
      <c r="R138" s="39"/>
      <c r="S138" s="39"/>
      <c r="T138" s="24"/>
      <c r="U138" s="24"/>
      <c r="V138" s="24"/>
      <c r="W138" s="87"/>
      <c r="X138" s="8"/>
      <c r="Y138" s="79"/>
      <c r="Z138" s="79"/>
      <c r="AA138" s="32"/>
      <c r="AB138" s="32"/>
      <c r="AC138" s="32"/>
      <c r="AD138" s="32"/>
      <c r="AE138" s="32"/>
      <c r="AF138" s="135"/>
      <c r="AG138" s="135"/>
      <c r="AH138" s="135"/>
      <c r="AI138" s="327" t="s">
        <v>488</v>
      </c>
      <c r="AJ138" s="328">
        <v>20.8</v>
      </c>
      <c r="AK138" s="329">
        <v>0.38</v>
      </c>
      <c r="AL138" s="330">
        <v>6.53</v>
      </c>
      <c r="AM138" s="329">
        <v>0.535</v>
      </c>
      <c r="AN138" s="330">
        <v>1.04</v>
      </c>
      <c r="AO138" s="328">
        <v>94.5</v>
      </c>
      <c r="AP138" s="331">
        <v>110</v>
      </c>
      <c r="AR138" s="197" t="s">
        <v>41</v>
      </c>
      <c r="AS138" s="354"/>
      <c r="AT138" s="314"/>
      <c r="AU138" s="314"/>
      <c r="AV138" s="355"/>
      <c r="AW138" s="198" t="s">
        <v>55</v>
      </c>
      <c r="AX138" s="356"/>
      <c r="AY138" s="95" t="s">
        <v>56</v>
      </c>
      <c r="AZ138" s="357"/>
      <c r="BA138" s="22"/>
      <c r="BB138" s="196">
        <v>0.25</v>
      </c>
      <c r="BC138" s="46"/>
      <c r="BD138" s="48"/>
      <c r="BE138" s="6"/>
      <c r="BF138" s="41"/>
      <c r="BG138" s="86"/>
      <c r="BH138" s="46"/>
      <c r="BI138" s="22"/>
      <c r="BJ138" s="46"/>
      <c r="BK138" s="46"/>
      <c r="BL138" s="358" t="s">
        <v>259</v>
      </c>
      <c r="BM138" s="359">
        <f>VLOOKUP($BM$137,BB159:BC181,2)</f>
        <v>3.09</v>
      </c>
      <c r="BN138" s="360">
        <f>(BO138-BM138)*(BN137-BM137)/(BO137-BM137)+BM138</f>
        <v>2.857083333333333</v>
      </c>
      <c r="BO138" s="361">
        <f>VLOOKUP($BO$137,BB159:BC181,2)</f>
        <v>2.66</v>
      </c>
    </row>
    <row r="139" spans="11:66" ht="12.75">
      <c r="K139" s="47"/>
      <c r="L139" s="9"/>
      <c r="M139" s="43"/>
      <c r="N139" s="43"/>
      <c r="O139" s="39"/>
      <c r="P139" s="39"/>
      <c r="Q139" s="39"/>
      <c r="R139" s="43"/>
      <c r="S139" s="39"/>
      <c r="T139" s="24"/>
      <c r="U139" s="24"/>
      <c r="V139" s="24"/>
      <c r="W139" s="87"/>
      <c r="X139" s="3"/>
      <c r="Y139" s="32"/>
      <c r="Z139" s="79"/>
      <c r="AA139" s="32"/>
      <c r="AB139" s="32"/>
      <c r="AC139" s="32"/>
      <c r="AD139" s="32"/>
      <c r="AE139" s="32"/>
      <c r="AF139" s="135"/>
      <c r="AG139" s="135"/>
      <c r="AH139" s="135"/>
      <c r="AI139" s="327" t="s">
        <v>489</v>
      </c>
      <c r="AJ139" s="328">
        <v>20.7</v>
      </c>
      <c r="AK139" s="329">
        <v>0.35</v>
      </c>
      <c r="AL139" s="330">
        <v>6.5</v>
      </c>
      <c r="AM139" s="329">
        <v>0.45</v>
      </c>
      <c r="AN139" s="329">
        <v>0.95</v>
      </c>
      <c r="AO139" s="328">
        <v>81.6</v>
      </c>
      <c r="AP139" s="328">
        <v>95.4</v>
      </c>
      <c r="AR139" s="19"/>
      <c r="AS139" s="22"/>
      <c r="AT139" s="22"/>
      <c r="AU139" s="22"/>
      <c r="AV139" s="22"/>
      <c r="AW139" s="22"/>
      <c r="AX139" s="185" t="str">
        <f>IF($D$17="No","     Pv="&amp;$C$11&amp;" k","       Pv")</f>
        <v>       Pv</v>
      </c>
      <c r="AY139" s="22"/>
      <c r="AZ139" s="72"/>
      <c r="BA139" s="22"/>
      <c r="BB139" s="196">
        <v>0.3125</v>
      </c>
      <c r="BC139" s="46"/>
      <c r="BD139" s="48" t="s">
        <v>260</v>
      </c>
      <c r="BE139" s="6">
        <f>AT147</f>
        <v>2.125</v>
      </c>
      <c r="BF139" s="41" t="s">
        <v>19</v>
      </c>
      <c r="BG139" s="86" t="s">
        <v>261</v>
      </c>
      <c r="BH139" s="46"/>
      <c r="BI139" s="46"/>
      <c r="BJ139" s="46"/>
      <c r="BK139" s="46"/>
      <c r="BL139" s="46"/>
      <c r="BM139" s="46"/>
      <c r="BN139" s="46"/>
    </row>
    <row r="140" spans="11:66" ht="12.75">
      <c r="K140" s="47"/>
      <c r="L140" s="40"/>
      <c r="M140" s="43"/>
      <c r="N140" s="43"/>
      <c r="O140" s="39"/>
      <c r="P140" s="39"/>
      <c r="Q140" s="39"/>
      <c r="R140" s="39"/>
      <c r="S140" s="39"/>
      <c r="T140" s="24"/>
      <c r="U140" s="24"/>
      <c r="V140" s="24"/>
      <c r="W140" s="87"/>
      <c r="X140" s="3"/>
      <c r="Y140" s="32"/>
      <c r="Z140" s="79"/>
      <c r="AA140" s="32"/>
      <c r="AB140" s="32"/>
      <c r="AC140" s="32"/>
      <c r="AD140" s="32"/>
      <c r="AE140" s="32"/>
      <c r="AF140" s="135"/>
      <c r="AG140" s="135"/>
      <c r="AH140" s="135"/>
      <c r="AI140" s="327" t="s">
        <v>32</v>
      </c>
      <c r="AJ140" s="328">
        <v>22.3</v>
      </c>
      <c r="AK140" s="330">
        <v>1.52</v>
      </c>
      <c r="AL140" s="328">
        <v>12</v>
      </c>
      <c r="AM140" s="330">
        <v>2.74</v>
      </c>
      <c r="AN140" s="330">
        <v>3.24</v>
      </c>
      <c r="AO140" s="331">
        <v>624</v>
      </c>
      <c r="AP140" s="331">
        <v>754</v>
      </c>
      <c r="AR140" s="200" t="s">
        <v>42</v>
      </c>
      <c r="AS140" s="22"/>
      <c r="AT140" s="22"/>
      <c r="AU140" s="22"/>
      <c r="AV140" s="22"/>
      <c r="AW140" s="152" t="str">
        <f>IF($D$17="No","aL="&amp;#REF!&amp;"  ","aL  ")</f>
        <v>aL  </v>
      </c>
      <c r="AX140" s="22" t="s">
        <v>262</v>
      </c>
      <c r="AY140" s="185">
        <f>IF($D$17="No","= "&amp;ROUND(#REF!,2),"")</f>
      </c>
      <c r="AZ140" s="72"/>
      <c r="BA140" s="46"/>
      <c r="BB140" s="196">
        <v>0.375</v>
      </c>
      <c r="BC140" s="46"/>
      <c r="BD140" s="48" t="s">
        <v>263</v>
      </c>
      <c r="BE140" s="6">
        <f>$BE$139/$BE$136</f>
        <v>0.3541666666666667</v>
      </c>
      <c r="BF140" s="41">
        <f>IF(BE140&gt;3,"Value of 'a' exceeds 3.0, beyond scope of table!","")</f>
      </c>
      <c r="BG140" s="86" t="s">
        <v>264</v>
      </c>
      <c r="BH140" s="46"/>
      <c r="BI140" s="46"/>
      <c r="BJ140" s="46"/>
      <c r="BK140" s="46"/>
      <c r="BL140" s="46"/>
      <c r="BM140" s="46"/>
      <c r="BN140" s="46"/>
    </row>
    <row r="141" spans="11:66" ht="12.75">
      <c r="K141" s="47"/>
      <c r="L141" s="4"/>
      <c r="M141" s="43"/>
      <c r="N141" s="43"/>
      <c r="O141" s="39"/>
      <c r="P141" s="44"/>
      <c r="Q141" s="44"/>
      <c r="R141" s="44"/>
      <c r="S141" s="44"/>
      <c r="T141" s="24"/>
      <c r="U141" s="24"/>
      <c r="V141" s="24"/>
      <c r="W141" s="87"/>
      <c r="X141" s="3"/>
      <c r="Y141" s="79"/>
      <c r="Z141" s="57"/>
      <c r="AA141" s="32"/>
      <c r="AB141" s="21"/>
      <c r="AC141" s="88"/>
      <c r="AD141" s="32"/>
      <c r="AE141" s="32"/>
      <c r="AF141" s="135"/>
      <c r="AG141" s="135"/>
      <c r="AH141" s="135"/>
      <c r="AI141" s="327" t="s">
        <v>14</v>
      </c>
      <c r="AJ141" s="328">
        <v>21.9</v>
      </c>
      <c r="AK141" s="330">
        <v>1.4</v>
      </c>
      <c r="AL141" s="328">
        <v>11.9</v>
      </c>
      <c r="AM141" s="330">
        <v>2.5</v>
      </c>
      <c r="AN141" s="330">
        <v>3</v>
      </c>
      <c r="AO141" s="331">
        <v>565</v>
      </c>
      <c r="AP141" s="331">
        <v>676</v>
      </c>
      <c r="AR141" s="19"/>
      <c r="AS141" s="22"/>
      <c r="AT141" s="22"/>
      <c r="AU141" s="22"/>
      <c r="AV141" s="22"/>
      <c r="AW141" s="14"/>
      <c r="AX141" s="22"/>
      <c r="AY141" s="63"/>
      <c r="AZ141" s="72"/>
      <c r="BA141" s="46"/>
      <c r="BB141" s="196">
        <v>0.4375</v>
      </c>
      <c r="BC141" s="46"/>
      <c r="BD141" s="48" t="s">
        <v>2</v>
      </c>
      <c r="BE141" s="6">
        <f>IF($AT$150="No",$BE$137/$BE$136,0)</f>
        <v>0</v>
      </c>
      <c r="BF141" s="97">
        <f>IF(BE141&gt;2,"Value of 'k' exceeds 2.0, beyond scope of table!","")</f>
      </c>
      <c r="BG141" s="86" t="str">
        <f>IF($D$17="No","k = (kL)/L","k = 0  (for Special Case)")</f>
        <v>k = 0  (for Special Case)</v>
      </c>
      <c r="BH141" s="46"/>
      <c r="BI141" s="46"/>
      <c r="BJ141" s="46"/>
      <c r="BK141" s="46"/>
      <c r="BL141" s="46"/>
      <c r="BM141" s="46"/>
      <c r="BN141" s="46"/>
    </row>
    <row r="142" spans="11:66" ht="12.75">
      <c r="K142" s="47"/>
      <c r="L142" s="4"/>
      <c r="M142" s="43"/>
      <c r="N142" s="43"/>
      <c r="O142" s="44"/>
      <c r="P142" s="44"/>
      <c r="Q142" s="44"/>
      <c r="R142" s="85"/>
      <c r="S142" s="44"/>
      <c r="T142" s="24"/>
      <c r="U142" s="24"/>
      <c r="V142" s="24"/>
      <c r="W142" s="87"/>
      <c r="X142" s="3"/>
      <c r="Y142" s="79"/>
      <c r="Z142" s="57"/>
      <c r="AA142" s="32"/>
      <c r="AB142" s="3"/>
      <c r="AC142" s="32"/>
      <c r="AD142" s="32"/>
      <c r="AE142" s="32"/>
      <c r="AF142" s="135"/>
      <c r="AG142" s="135"/>
      <c r="AH142" s="135"/>
      <c r="AI142" s="327" t="s">
        <v>13</v>
      </c>
      <c r="AJ142" s="328">
        <v>21.5</v>
      </c>
      <c r="AK142" s="330">
        <v>1.28</v>
      </c>
      <c r="AL142" s="328">
        <v>11.8</v>
      </c>
      <c r="AM142" s="330">
        <v>2.3</v>
      </c>
      <c r="AN142" s="330">
        <v>2.7</v>
      </c>
      <c r="AO142" s="331">
        <v>514</v>
      </c>
      <c r="AP142" s="331">
        <v>611</v>
      </c>
      <c r="AR142" s="19"/>
      <c r="AS142" s="38" t="s">
        <v>265</v>
      </c>
      <c r="AT142" s="130">
        <f>F27</f>
        <v>6</v>
      </c>
      <c r="AU142" s="201" t="s">
        <v>19</v>
      </c>
      <c r="AV142" s="14"/>
      <c r="AW142" s="14"/>
      <c r="AX142" s="202"/>
      <c r="AY142" s="185" t="str">
        <f>IF($D$17="No",IF($C$12&gt;0,"      P="&amp;#REF!&amp;" k","      P=Pv"),"      P")</f>
        <v>      P</v>
      </c>
      <c r="AZ142" s="203"/>
      <c r="BA142" s="46"/>
      <c r="BB142" s="196">
        <v>0.5</v>
      </c>
      <c r="BC142" s="46"/>
      <c r="BD142" s="42" t="s">
        <v>266</v>
      </c>
      <c r="BE142" s="204">
        <f>IF($AT$148="E60",0.857,IF($AT$148="E70",1,IF($AT$148="E80",1.03,IF($AT$148="E90",1.16,IF($AT$148="E100",1.21,1.34)))))</f>
        <v>1</v>
      </c>
      <c r="BF142" s="33"/>
      <c r="BG142" s="86" t="s">
        <v>267</v>
      </c>
      <c r="BH142" s="46"/>
      <c r="BI142" s="46"/>
      <c r="BJ142" s="46"/>
      <c r="BK142" s="46"/>
      <c r="BL142" s="46"/>
      <c r="BM142" s="46"/>
      <c r="BN142" s="46"/>
    </row>
    <row r="143" spans="11:66" ht="12.75">
      <c r="K143" s="71"/>
      <c r="L143" s="9"/>
      <c r="M143" s="44"/>
      <c r="N143" s="50"/>
      <c r="O143" s="44"/>
      <c r="P143" s="44"/>
      <c r="Q143" s="44"/>
      <c r="R143" s="44"/>
      <c r="S143" s="44"/>
      <c r="T143" s="24"/>
      <c r="U143" s="24"/>
      <c r="V143" s="24"/>
      <c r="W143" s="87"/>
      <c r="X143" s="8"/>
      <c r="Y143" s="41"/>
      <c r="Z143" s="41"/>
      <c r="AA143" s="32"/>
      <c r="AB143" s="32"/>
      <c r="AC143" s="32"/>
      <c r="AD143" s="32"/>
      <c r="AE143" s="32"/>
      <c r="AF143" s="135"/>
      <c r="AG143" s="135"/>
      <c r="AH143" s="135"/>
      <c r="AI143" s="327" t="s">
        <v>25</v>
      </c>
      <c r="AJ143" s="328">
        <v>21.1</v>
      </c>
      <c r="AK143" s="330">
        <v>1.16</v>
      </c>
      <c r="AL143" s="328">
        <v>11.7</v>
      </c>
      <c r="AM143" s="330">
        <v>2.11</v>
      </c>
      <c r="AN143" s="330">
        <v>2.51</v>
      </c>
      <c r="AO143" s="331">
        <v>466</v>
      </c>
      <c r="AP143" s="331">
        <v>549</v>
      </c>
      <c r="AR143" s="19"/>
      <c r="AS143" s="38" t="s">
        <v>268</v>
      </c>
      <c r="AT143" s="134">
        <f>$C$23</f>
        <v>8</v>
      </c>
      <c r="AU143" s="201" t="s">
        <v>19</v>
      </c>
      <c r="AV143" s="14"/>
      <c r="AW143" s="14"/>
      <c r="AX143" s="205"/>
      <c r="AY143" s="78"/>
      <c r="AZ143" s="206"/>
      <c r="BA143" s="46"/>
      <c r="BB143" s="196">
        <v>0.5625</v>
      </c>
      <c r="BC143" s="46"/>
      <c r="BD143" s="48" t="s">
        <v>269</v>
      </c>
      <c r="BE143" s="6">
        <f>BN138</f>
        <v>2.857083333333333</v>
      </c>
      <c r="BF143" s="98"/>
      <c r="BG143" s="86" t="s">
        <v>270</v>
      </c>
      <c r="BH143" s="46"/>
      <c r="BI143" s="46"/>
      <c r="BJ143" s="46"/>
      <c r="BK143" s="46"/>
      <c r="BL143" s="46"/>
      <c r="BM143" s="46"/>
      <c r="BN143" s="46"/>
    </row>
    <row r="144" spans="11:66" ht="12.75">
      <c r="K144" s="125"/>
      <c r="L144" s="9"/>
      <c r="M144" s="44"/>
      <c r="N144" s="63"/>
      <c r="O144" s="44"/>
      <c r="P144" s="44"/>
      <c r="Q144" s="44"/>
      <c r="R144" s="44"/>
      <c r="S144" s="44"/>
      <c r="T144" s="24"/>
      <c r="U144" s="24"/>
      <c r="V144" s="24"/>
      <c r="W144" s="87"/>
      <c r="X144" s="8"/>
      <c r="Y144" s="79"/>
      <c r="Z144" s="79"/>
      <c r="AA144" s="32"/>
      <c r="AB144" s="32"/>
      <c r="AC144" s="32"/>
      <c r="AD144" s="32"/>
      <c r="AE144" s="32"/>
      <c r="AF144" s="135"/>
      <c r="AG144" s="135"/>
      <c r="AH144" s="135"/>
      <c r="AI144" s="327" t="s">
        <v>24</v>
      </c>
      <c r="AJ144" s="328">
        <v>20.7</v>
      </c>
      <c r="AK144" s="330">
        <v>1.06</v>
      </c>
      <c r="AL144" s="328">
        <v>11.6</v>
      </c>
      <c r="AM144" s="330">
        <v>1.91</v>
      </c>
      <c r="AN144" s="330">
        <v>2.31</v>
      </c>
      <c r="AO144" s="331">
        <v>419</v>
      </c>
      <c r="AP144" s="331">
        <v>490</v>
      </c>
      <c r="AR144" s="19"/>
      <c r="AS144" s="38" t="s">
        <v>271</v>
      </c>
      <c r="AT144" s="390">
        <f>C24</f>
        <v>0.25</v>
      </c>
      <c r="AU144" s="201" t="str">
        <f>"in. = "&amp;$C$10*16&amp;" (1/16's)"</f>
        <v>in. = 0 (1/16's)</v>
      </c>
      <c r="AV144" s="152" t="str">
        <f>IF($D$17="No","L=","L")</f>
        <v>L</v>
      </c>
      <c r="AW144" s="14"/>
      <c r="AX144" s="205"/>
      <c r="AY144" s="185"/>
      <c r="AZ144" s="208"/>
      <c r="BA144" s="46"/>
      <c r="BB144" s="196">
        <v>0.625</v>
      </c>
      <c r="BC144" s="46"/>
      <c r="BD144" s="48" t="s">
        <v>341</v>
      </c>
      <c r="BE144" s="204">
        <f>AT144*16</f>
        <v>4</v>
      </c>
      <c r="BF144" s="33"/>
      <c r="BG144" s="33"/>
      <c r="BH144" s="46"/>
      <c r="BI144" s="46"/>
      <c r="BJ144" s="46"/>
      <c r="BK144" s="46"/>
      <c r="BL144" s="46"/>
      <c r="BM144" s="46"/>
      <c r="BN144" s="46"/>
    </row>
    <row r="145" spans="11:66" ht="12.75">
      <c r="K145" s="71"/>
      <c r="L145" s="40"/>
      <c r="M145" s="44"/>
      <c r="N145" s="50"/>
      <c r="O145" s="44"/>
      <c r="P145" s="44"/>
      <c r="Q145" s="44"/>
      <c r="R145" s="45"/>
      <c r="S145" s="44"/>
      <c r="T145" s="24"/>
      <c r="U145" s="24"/>
      <c r="V145" s="24"/>
      <c r="W145" s="87"/>
      <c r="X145" s="3"/>
      <c r="Y145" s="79"/>
      <c r="Z145" s="57"/>
      <c r="AA145" s="32"/>
      <c r="AB145" s="32"/>
      <c r="AC145" s="32"/>
      <c r="AD145" s="32"/>
      <c r="AE145" s="32"/>
      <c r="AF145" s="135"/>
      <c r="AG145" s="135"/>
      <c r="AH145" s="135"/>
      <c r="AI145" s="327" t="s">
        <v>23</v>
      </c>
      <c r="AJ145" s="328">
        <v>20.4</v>
      </c>
      <c r="AK145" s="329">
        <v>0.96</v>
      </c>
      <c r="AL145" s="328">
        <v>11.5</v>
      </c>
      <c r="AM145" s="330">
        <v>1.75</v>
      </c>
      <c r="AN145" s="330">
        <v>2.15</v>
      </c>
      <c r="AO145" s="331">
        <v>380</v>
      </c>
      <c r="AP145" s="331">
        <v>442</v>
      </c>
      <c r="AR145" s="19"/>
      <c r="AS145" s="38" t="s">
        <v>274</v>
      </c>
      <c r="AT145" s="132">
        <f>C17</f>
        <v>4.22</v>
      </c>
      <c r="AU145" s="201" t="s">
        <v>9</v>
      </c>
      <c r="AV145" s="211">
        <f>IF($D$17="No",#REF!,"")</f>
      </c>
      <c r="AW145" s="212" t="s">
        <v>275</v>
      </c>
      <c r="AX145" s="14"/>
      <c r="AY145" s="185" t="str">
        <f>IF($D$17="No",IF($C$12&gt;0,"Ph="&amp;$C$12&amp;" k","Ph=0"),"Ph")</f>
        <v>Ph</v>
      </c>
      <c r="AZ145" s="15"/>
      <c r="BA145" s="46"/>
      <c r="BB145" s="55" t="s">
        <v>21</v>
      </c>
      <c r="BC145" s="46"/>
      <c r="BD145" s="42" t="s">
        <v>340</v>
      </c>
      <c r="BE145" s="209">
        <f>BE143*BE142*BE144*BE136/2</f>
        <v>34.285</v>
      </c>
      <c r="BF145" s="33" t="s">
        <v>9</v>
      </c>
      <c r="BG145" s="78"/>
      <c r="BH145" s="46"/>
      <c r="BI145" s="46"/>
      <c r="BJ145" s="46"/>
      <c r="BK145" s="46"/>
      <c r="BL145" s="46"/>
      <c r="BM145" s="46"/>
      <c r="BN145" s="46"/>
    </row>
    <row r="146" spans="11:66" ht="12.75">
      <c r="K146" s="71"/>
      <c r="L146" s="40"/>
      <c r="M146" s="44"/>
      <c r="N146" s="50"/>
      <c r="O146" s="44"/>
      <c r="P146" s="44"/>
      <c r="Q146" s="44"/>
      <c r="R146" s="44"/>
      <c r="S146" s="44"/>
      <c r="T146" s="24"/>
      <c r="U146" s="24"/>
      <c r="V146" s="24"/>
      <c r="W146" s="87"/>
      <c r="X146" s="3"/>
      <c r="Y146" s="79"/>
      <c r="Z146" s="57"/>
      <c r="AA146" s="32"/>
      <c r="AB146" s="32"/>
      <c r="AC146" s="32"/>
      <c r="AD146" s="32"/>
      <c r="AE146" s="32"/>
      <c r="AF146" s="135"/>
      <c r="AG146" s="135"/>
      <c r="AH146" s="135"/>
      <c r="AI146" s="327" t="s">
        <v>490</v>
      </c>
      <c r="AJ146" s="328">
        <v>20</v>
      </c>
      <c r="AK146" s="329">
        <v>0.89</v>
      </c>
      <c r="AL146" s="328">
        <v>11.4</v>
      </c>
      <c r="AM146" s="330">
        <v>1.59</v>
      </c>
      <c r="AN146" s="330">
        <v>1.99</v>
      </c>
      <c r="AO146" s="331">
        <v>344</v>
      </c>
      <c r="AP146" s="331">
        <v>398</v>
      </c>
      <c r="AR146" s="19"/>
      <c r="AS146" s="38" t="s">
        <v>277</v>
      </c>
      <c r="AT146" s="132">
        <v>0</v>
      </c>
      <c r="AU146" s="201" t="s">
        <v>9</v>
      </c>
      <c r="AV146" s="211"/>
      <c r="AW146" s="99"/>
      <c r="AX146" s="14"/>
      <c r="AY146" s="153">
        <f>IF($C$12&gt;0,"(@ C.G.)","")</f>
      </c>
      <c r="AZ146" s="213"/>
      <c r="BA146" s="46"/>
      <c r="BB146" s="55" t="s">
        <v>49</v>
      </c>
      <c r="BC146" s="46"/>
      <c r="BD146" s="48"/>
      <c r="BE146" s="6"/>
      <c r="BF146" s="46"/>
      <c r="BG146" s="86"/>
      <c r="BH146" s="46"/>
      <c r="BI146" s="46"/>
      <c r="BJ146" s="46"/>
      <c r="BK146" s="46"/>
      <c r="BL146" s="46"/>
      <c r="BM146" s="46"/>
      <c r="BN146" s="46"/>
    </row>
    <row r="147" spans="11:66" ht="12.75">
      <c r="K147" s="75"/>
      <c r="L147" s="9"/>
      <c r="M147" s="44"/>
      <c r="N147" s="63"/>
      <c r="O147" s="44"/>
      <c r="P147" s="44"/>
      <c r="Q147" s="44"/>
      <c r="R147" s="44"/>
      <c r="S147" s="44"/>
      <c r="T147" s="24"/>
      <c r="U147" s="24"/>
      <c r="V147" s="24"/>
      <c r="W147" s="48"/>
      <c r="X147" s="3"/>
      <c r="Y147" s="41"/>
      <c r="Z147" s="57"/>
      <c r="AA147" s="32"/>
      <c r="AB147" s="32"/>
      <c r="AC147" s="41"/>
      <c r="AD147" s="32"/>
      <c r="AE147" s="32"/>
      <c r="AF147" s="135"/>
      <c r="AG147" s="135"/>
      <c r="AH147" s="135"/>
      <c r="AI147" s="327" t="s">
        <v>491</v>
      </c>
      <c r="AJ147" s="328">
        <v>19.7</v>
      </c>
      <c r="AK147" s="329">
        <v>0.81</v>
      </c>
      <c r="AL147" s="328">
        <v>11.3</v>
      </c>
      <c r="AM147" s="330">
        <v>1.44</v>
      </c>
      <c r="AN147" s="330">
        <v>1.84</v>
      </c>
      <c r="AO147" s="331">
        <v>310</v>
      </c>
      <c r="AP147" s="331">
        <v>356</v>
      </c>
      <c r="AR147" s="19"/>
      <c r="AS147" s="38" t="s">
        <v>278</v>
      </c>
      <c r="AT147" s="134">
        <f>X46</f>
        <v>2.125</v>
      </c>
      <c r="AU147" s="201" t="s">
        <v>19</v>
      </c>
      <c r="AV147" s="14"/>
      <c r="AW147" s="14"/>
      <c r="AX147" s="14"/>
      <c r="AY147" s="22"/>
      <c r="AZ147" s="213"/>
      <c r="BA147" s="46"/>
      <c r="BB147" s="64" t="s">
        <v>279</v>
      </c>
      <c r="BC147" s="46"/>
      <c r="BD147" s="48"/>
      <c r="BE147" s="6"/>
      <c r="BF147" s="154"/>
      <c r="BG147" s="86"/>
      <c r="BH147" s="46"/>
      <c r="BI147" s="46"/>
      <c r="BJ147" s="46"/>
      <c r="BK147" s="46"/>
      <c r="BL147" s="46"/>
      <c r="BM147" s="46"/>
      <c r="BN147" s="46"/>
    </row>
    <row r="148" spans="11:66" ht="12.75">
      <c r="K148" s="71"/>
      <c r="L148" s="4"/>
      <c r="M148" s="44"/>
      <c r="N148" s="44"/>
      <c r="O148" s="44"/>
      <c r="P148" s="44"/>
      <c r="Q148" s="44"/>
      <c r="R148" s="44"/>
      <c r="S148" s="44"/>
      <c r="T148" s="24"/>
      <c r="U148" s="24"/>
      <c r="V148" s="24"/>
      <c r="W148" s="48"/>
      <c r="X148" s="3"/>
      <c r="Y148" s="41"/>
      <c r="Z148" s="57"/>
      <c r="AA148" s="32"/>
      <c r="AB148" s="79"/>
      <c r="AC148" s="32"/>
      <c r="AD148" s="32"/>
      <c r="AE148" s="32"/>
      <c r="AF148" s="135"/>
      <c r="AG148" s="135"/>
      <c r="AH148" s="135"/>
      <c r="AI148" s="327" t="s">
        <v>492</v>
      </c>
      <c r="AJ148" s="328">
        <v>19.5</v>
      </c>
      <c r="AK148" s="329">
        <v>0.73</v>
      </c>
      <c r="AL148" s="328">
        <v>11.2</v>
      </c>
      <c r="AM148" s="330">
        <v>1.32</v>
      </c>
      <c r="AN148" s="330">
        <v>1.72</v>
      </c>
      <c r="AO148" s="331">
        <v>282</v>
      </c>
      <c r="AP148" s="331">
        <v>322</v>
      </c>
      <c r="AR148" s="19"/>
      <c r="AS148" s="38" t="s">
        <v>281</v>
      </c>
      <c r="AT148" s="134" t="str">
        <f>C20</f>
        <v>E70</v>
      </c>
      <c r="AU148" s="201"/>
      <c r="AV148" s="151" t="s">
        <v>283</v>
      </c>
      <c r="AW148" s="14"/>
      <c r="AX148" s="151" t="s">
        <v>284</v>
      </c>
      <c r="AY148" s="43"/>
      <c r="AZ148" s="213"/>
      <c r="BA148" s="46"/>
      <c r="BB148" s="64" t="s">
        <v>282</v>
      </c>
      <c r="BC148" s="46"/>
      <c r="BD148" s="48"/>
      <c r="BE148" s="6"/>
      <c r="BF148" s="41"/>
      <c r="BG148" s="86"/>
      <c r="BH148" s="46"/>
      <c r="BI148" s="46"/>
      <c r="BJ148" s="46"/>
      <c r="BK148" s="46"/>
      <c r="BL148" s="46"/>
      <c r="BM148" s="46"/>
      <c r="BN148" s="46"/>
    </row>
    <row r="149" spans="11:66" ht="12.75">
      <c r="K149" s="76"/>
      <c r="L149" s="69"/>
      <c r="M149" s="69"/>
      <c r="N149" s="69"/>
      <c r="O149" s="69"/>
      <c r="P149" s="69"/>
      <c r="Q149" s="69"/>
      <c r="R149" s="69"/>
      <c r="S149" s="2"/>
      <c r="T149" s="24"/>
      <c r="U149" s="24"/>
      <c r="V149" s="24"/>
      <c r="W149" s="79"/>
      <c r="X149" s="32"/>
      <c r="Y149" s="32"/>
      <c r="Z149" s="79"/>
      <c r="AA149" s="32"/>
      <c r="AB149" s="32"/>
      <c r="AC149" s="32"/>
      <c r="AD149" s="32"/>
      <c r="AE149" s="32"/>
      <c r="AF149" s="135"/>
      <c r="AG149" s="135"/>
      <c r="AH149" s="135"/>
      <c r="AI149" s="327" t="s">
        <v>493</v>
      </c>
      <c r="AJ149" s="328">
        <v>19.3</v>
      </c>
      <c r="AK149" s="329">
        <v>0.67</v>
      </c>
      <c r="AL149" s="328">
        <v>11.2</v>
      </c>
      <c r="AM149" s="330">
        <v>1.2</v>
      </c>
      <c r="AN149" s="330">
        <v>1.6</v>
      </c>
      <c r="AO149" s="331">
        <v>256</v>
      </c>
      <c r="AP149" s="331">
        <v>290</v>
      </c>
      <c r="AR149" s="19"/>
      <c r="AS149" s="38" t="s">
        <v>285</v>
      </c>
      <c r="AT149" s="134" t="s">
        <v>286</v>
      </c>
      <c r="AV149" s="151" t="str">
        <f>IF($D$17="No","                 kL=   "&amp;#REF!,"                   kL")</f>
        <v>                   kL</v>
      </c>
      <c r="AW149" s="14"/>
      <c r="AX149" s="14"/>
      <c r="AY149" s="39"/>
      <c r="AZ149" s="213"/>
      <c r="BA149" s="46"/>
      <c r="BB149" s="64" t="s">
        <v>287</v>
      </c>
      <c r="BC149" s="46"/>
      <c r="BD149" s="42"/>
      <c r="BE149" s="37"/>
      <c r="BF149" s="33"/>
      <c r="BG149" s="33"/>
      <c r="BH149" s="46"/>
      <c r="BI149" s="46"/>
      <c r="BJ149" s="46"/>
      <c r="BK149" s="46"/>
      <c r="BL149" s="46"/>
      <c r="BM149" s="46"/>
      <c r="BN149" s="46"/>
    </row>
    <row r="150" spans="11:66" ht="12.75">
      <c r="K150" s="44"/>
      <c r="L150" s="44"/>
      <c r="M150" s="44"/>
      <c r="N150" s="44"/>
      <c r="O150" s="44"/>
      <c r="P150" s="44"/>
      <c r="Q150" s="44"/>
      <c r="R150" s="44"/>
      <c r="S150" s="7"/>
      <c r="T150" s="24"/>
      <c r="U150" s="24"/>
      <c r="V150" s="24"/>
      <c r="W150" s="48"/>
      <c r="X150" s="11"/>
      <c r="Y150" s="79"/>
      <c r="Z150" s="79"/>
      <c r="AA150" s="32"/>
      <c r="AB150" s="32"/>
      <c r="AC150" s="32"/>
      <c r="AD150" s="32"/>
      <c r="AE150" s="32"/>
      <c r="AF150" s="135"/>
      <c r="AG150" s="135"/>
      <c r="AH150" s="135"/>
      <c r="AI150" s="327" t="s">
        <v>494</v>
      </c>
      <c r="AJ150" s="328">
        <v>19</v>
      </c>
      <c r="AK150" s="329">
        <v>0.655</v>
      </c>
      <c r="AL150" s="328">
        <v>11.3</v>
      </c>
      <c r="AM150" s="330">
        <v>1.06</v>
      </c>
      <c r="AN150" s="330">
        <v>1.46</v>
      </c>
      <c r="AO150" s="331">
        <v>231</v>
      </c>
      <c r="AP150" s="331">
        <v>262</v>
      </c>
      <c r="AR150" s="19"/>
      <c r="AS150" s="38" t="s">
        <v>288</v>
      </c>
      <c r="AT150" s="391" t="s">
        <v>21</v>
      </c>
      <c r="AU150" s="99"/>
      <c r="AV150" s="151"/>
      <c r="AW150" s="14"/>
      <c r="AX150" s="14"/>
      <c r="AY150" s="39"/>
      <c r="AZ150" s="213"/>
      <c r="BA150" s="46"/>
      <c r="BB150" s="64" t="s">
        <v>289</v>
      </c>
      <c r="BC150" s="46"/>
      <c r="BD150" s="42"/>
      <c r="BE150" s="37"/>
      <c r="BF150" s="33"/>
      <c r="BG150" s="33"/>
      <c r="BH150" s="46"/>
      <c r="BI150" s="46"/>
      <c r="BJ150" s="46"/>
      <c r="BK150" s="46"/>
      <c r="BL150" s="46"/>
      <c r="BM150" s="46"/>
      <c r="BN150" s="46"/>
    </row>
    <row r="151" spans="11:66" ht="12.75">
      <c r="K151" s="44"/>
      <c r="L151" s="44"/>
      <c r="M151" s="44"/>
      <c r="N151" s="44"/>
      <c r="O151" s="44"/>
      <c r="P151" s="44"/>
      <c r="Q151" s="44"/>
      <c r="R151" s="61"/>
      <c r="S151" s="94"/>
      <c r="T151" s="24"/>
      <c r="U151" s="24"/>
      <c r="V151" s="24"/>
      <c r="W151" s="48"/>
      <c r="X151" s="11"/>
      <c r="Y151" s="79"/>
      <c r="Z151" s="79"/>
      <c r="AA151" s="32"/>
      <c r="AB151" s="32"/>
      <c r="AC151" s="32"/>
      <c r="AD151" s="32"/>
      <c r="AE151" s="32"/>
      <c r="AF151" s="135"/>
      <c r="AG151" s="135"/>
      <c r="AH151" s="135"/>
      <c r="AI151" s="327" t="s">
        <v>495</v>
      </c>
      <c r="AJ151" s="328">
        <v>18.7</v>
      </c>
      <c r="AK151" s="329">
        <v>0.59</v>
      </c>
      <c r="AL151" s="328">
        <v>11.2</v>
      </c>
      <c r="AM151" s="329">
        <v>0.94</v>
      </c>
      <c r="AN151" s="330">
        <v>1.34</v>
      </c>
      <c r="AO151" s="331">
        <v>204</v>
      </c>
      <c r="AP151" s="331">
        <v>230</v>
      </c>
      <c r="AR151" s="19"/>
      <c r="AS151" s="14"/>
      <c r="AT151" s="14"/>
      <c r="AU151" s="14"/>
      <c r="AV151" s="151"/>
      <c r="AW151" s="14"/>
      <c r="AX151" s="14"/>
      <c r="AY151" s="39"/>
      <c r="AZ151" s="213"/>
      <c r="BA151" s="46"/>
      <c r="BB151" s="64" t="s">
        <v>290</v>
      </c>
      <c r="BC151" s="46"/>
      <c r="BD151" s="46"/>
      <c r="BE151" s="33"/>
      <c r="BF151" s="46"/>
      <c r="BG151" s="46"/>
      <c r="BH151" s="46"/>
      <c r="BI151" s="46"/>
      <c r="BJ151" s="42"/>
      <c r="BK151" s="86"/>
      <c r="BL151" s="46"/>
      <c r="BM151" s="46"/>
      <c r="BN151" s="46"/>
    </row>
    <row r="152" spans="11:66" ht="12.75">
      <c r="K152" s="68"/>
      <c r="L152" s="68"/>
      <c r="M152" s="68"/>
      <c r="N152" s="68"/>
      <c r="O152" s="68"/>
      <c r="P152" s="68"/>
      <c r="Q152" s="68"/>
      <c r="R152" s="61"/>
      <c r="S152" s="111"/>
      <c r="T152" s="24"/>
      <c r="U152" s="24"/>
      <c r="V152" s="24"/>
      <c r="W152" s="48"/>
      <c r="X152" s="11"/>
      <c r="Y152" s="79"/>
      <c r="Z152" s="79"/>
      <c r="AA152" s="32"/>
      <c r="AB152" s="32"/>
      <c r="AC152" s="32"/>
      <c r="AD152" s="32"/>
      <c r="AE152" s="32"/>
      <c r="AF152" s="135"/>
      <c r="AG152" s="135"/>
      <c r="AH152" s="135"/>
      <c r="AI152" s="327" t="s">
        <v>496</v>
      </c>
      <c r="AJ152" s="328">
        <v>18.6</v>
      </c>
      <c r="AK152" s="329">
        <v>0.535</v>
      </c>
      <c r="AL152" s="328">
        <v>11.1</v>
      </c>
      <c r="AM152" s="329">
        <v>0.87</v>
      </c>
      <c r="AN152" s="330">
        <v>1.27</v>
      </c>
      <c r="AO152" s="331">
        <v>188</v>
      </c>
      <c r="AP152" s="331">
        <v>211</v>
      </c>
      <c r="AR152" s="214" t="s">
        <v>291</v>
      </c>
      <c r="AS152" s="14"/>
      <c r="AT152" s="14"/>
      <c r="AU152" s="14"/>
      <c r="AV152" s="14"/>
      <c r="AW152" s="2"/>
      <c r="AX152" s="215"/>
      <c r="AY152" s="216"/>
      <c r="AZ152" s="217"/>
      <c r="BA152" s="22"/>
      <c r="BB152" s="64" t="s">
        <v>292</v>
      </c>
      <c r="BC152" s="46"/>
      <c r="BD152" s="46"/>
      <c r="BE152" s="33"/>
      <c r="BF152" s="46"/>
      <c r="BG152" s="46"/>
      <c r="BH152" s="46"/>
      <c r="BI152" s="46"/>
      <c r="BJ152" s="42"/>
      <c r="BK152" s="86"/>
      <c r="BL152" s="46"/>
      <c r="BM152" s="46"/>
      <c r="BN152" s="46"/>
    </row>
    <row r="153" spans="11:66" ht="12.75">
      <c r="K153" s="68"/>
      <c r="L153" s="68"/>
      <c r="M153" s="68"/>
      <c r="N153" s="68"/>
      <c r="O153" s="68"/>
      <c r="P153" s="68"/>
      <c r="Q153" s="68"/>
      <c r="R153" s="112"/>
      <c r="S153" s="7"/>
      <c r="T153" s="24"/>
      <c r="U153" s="24"/>
      <c r="V153" s="24"/>
      <c r="W153" s="87"/>
      <c r="X153" s="12"/>
      <c r="Y153" s="79"/>
      <c r="Z153" s="79"/>
      <c r="AA153" s="32"/>
      <c r="AB153" s="32"/>
      <c r="AC153" s="32"/>
      <c r="AD153" s="32"/>
      <c r="AE153" s="32"/>
      <c r="AF153" s="135"/>
      <c r="AG153" s="135"/>
      <c r="AH153" s="135"/>
      <c r="AI153" s="327" t="s">
        <v>497</v>
      </c>
      <c r="AJ153" s="328">
        <v>18.4</v>
      </c>
      <c r="AK153" s="329">
        <v>0.48</v>
      </c>
      <c r="AL153" s="328">
        <v>11.1</v>
      </c>
      <c r="AM153" s="329">
        <v>0.77</v>
      </c>
      <c r="AN153" s="330">
        <v>1.17</v>
      </c>
      <c r="AO153" s="331">
        <v>166</v>
      </c>
      <c r="AP153" s="331">
        <v>186</v>
      </c>
      <c r="AR153" s="19"/>
      <c r="AS153" s="14"/>
      <c r="AT153" s="14"/>
      <c r="AU153" s="14"/>
      <c r="AV153" s="14"/>
      <c r="AW153" s="14"/>
      <c r="AX153" s="151" t="str">
        <f>IF($D$17="Yes","      Pv="&amp;$C$11&amp;" k","            Pv")</f>
        <v>            Pv</v>
      </c>
      <c r="AY153" s="14"/>
      <c r="AZ153" s="217"/>
      <c r="BA153" s="22"/>
      <c r="BB153" s="64" t="s">
        <v>286</v>
      </c>
      <c r="BC153" s="46"/>
      <c r="BH153" s="46"/>
      <c r="BI153" s="46"/>
      <c r="BJ153" s="46"/>
      <c r="BK153" s="46"/>
      <c r="BL153" s="46"/>
      <c r="BM153" s="46"/>
      <c r="BN153" s="46"/>
    </row>
    <row r="154" spans="11:66" ht="12.75">
      <c r="K154" s="68"/>
      <c r="L154" s="83"/>
      <c r="M154" s="68"/>
      <c r="N154" s="68"/>
      <c r="O154" s="68"/>
      <c r="P154" s="68"/>
      <c r="Q154" s="68"/>
      <c r="R154" s="61"/>
      <c r="S154" s="7"/>
      <c r="T154" s="24"/>
      <c r="U154" s="24"/>
      <c r="V154" s="24"/>
      <c r="W154" s="90"/>
      <c r="X154" s="12"/>
      <c r="Y154" s="32"/>
      <c r="Z154" s="78"/>
      <c r="AA154" s="32"/>
      <c r="AB154" s="32"/>
      <c r="AC154" s="32"/>
      <c r="AD154" s="32"/>
      <c r="AE154" s="32"/>
      <c r="AF154" s="135"/>
      <c r="AG154" s="135"/>
      <c r="AH154" s="135"/>
      <c r="AI154" s="327" t="s">
        <v>498</v>
      </c>
      <c r="AJ154" s="328">
        <v>18.2</v>
      </c>
      <c r="AK154" s="329">
        <v>0.425</v>
      </c>
      <c r="AL154" s="328">
        <v>11</v>
      </c>
      <c r="AM154" s="329">
        <v>0.68</v>
      </c>
      <c r="AN154" s="330">
        <v>1.08</v>
      </c>
      <c r="AO154" s="331">
        <v>146</v>
      </c>
      <c r="AP154" s="331">
        <v>163</v>
      </c>
      <c r="AR154" s="218" t="str">
        <f>IF($C$12&gt;0,"P = C*C1*D*L  (for inclined load)","P = Pv = C*C1*D*L  (for vertical load only)")</f>
        <v>P = Pv = C*C1*D*L  (for vertical load only)</v>
      </c>
      <c r="AS154" s="14"/>
      <c r="AT154" s="14"/>
      <c r="AU154" s="14"/>
      <c r="AV154" s="99"/>
      <c r="AW154" s="22"/>
      <c r="AX154" s="22" t="s">
        <v>262</v>
      </c>
      <c r="AY154" s="185">
        <f>IF($D$17="Yes","= "&amp;ROUND(#REF!,2),"")</f>
      </c>
      <c r="AZ154" s="217"/>
      <c r="BA154" s="22"/>
      <c r="BB154" s="64" t="s">
        <v>293</v>
      </c>
      <c r="BC154" s="46"/>
      <c r="BD154" s="46"/>
      <c r="BE154" s="46"/>
      <c r="BF154" s="46"/>
      <c r="BG154" s="33"/>
      <c r="BH154" s="46"/>
      <c r="BI154" s="46"/>
      <c r="BJ154" s="46"/>
      <c r="BK154" s="219"/>
      <c r="BL154" s="46"/>
      <c r="BM154" s="46"/>
      <c r="BN154" s="46"/>
    </row>
    <row r="155" spans="11:70" ht="12.75">
      <c r="K155" s="68"/>
      <c r="L155" s="83"/>
      <c r="M155" s="68"/>
      <c r="N155" s="68"/>
      <c r="O155" s="68"/>
      <c r="P155" s="68"/>
      <c r="Q155" s="68"/>
      <c r="R155" s="44"/>
      <c r="S155" s="44"/>
      <c r="T155" s="24"/>
      <c r="U155" s="24"/>
      <c r="V155" s="24"/>
      <c r="W155" s="87"/>
      <c r="X155" s="88"/>
      <c r="Y155" s="79"/>
      <c r="Z155" s="79"/>
      <c r="AA155" s="32"/>
      <c r="AB155" s="32"/>
      <c r="AC155" s="32"/>
      <c r="AD155" s="32"/>
      <c r="AE155" s="32"/>
      <c r="AF155" s="135"/>
      <c r="AG155" s="135"/>
      <c r="AH155" s="135"/>
      <c r="AI155" s="327" t="s">
        <v>499</v>
      </c>
      <c r="AJ155" s="328">
        <v>18.5</v>
      </c>
      <c r="AK155" s="329">
        <v>0.495</v>
      </c>
      <c r="AL155" s="330">
        <v>7.64</v>
      </c>
      <c r="AM155" s="329">
        <v>0.81</v>
      </c>
      <c r="AN155" s="330">
        <v>1.21</v>
      </c>
      <c r="AO155" s="331">
        <v>127</v>
      </c>
      <c r="AP155" s="331">
        <v>146</v>
      </c>
      <c r="AR155" s="19" t="str">
        <f>IF($C$16="ASD","P = allowable load on eccentric weld group (kips)","P = ultimate load on eccentric weld group (kips)")</f>
        <v>P = ultimate load on eccentric weld group (kips)</v>
      </c>
      <c r="AS155" s="14"/>
      <c r="AT155" s="14"/>
      <c r="AU155" s="14"/>
      <c r="AV155" s="14"/>
      <c r="AW155" s="22"/>
      <c r="AX155" s="185" t="str">
        <f>IF($D$17="Yes","  aL=   "&amp;#REF!,"  aL")</f>
        <v>  aL</v>
      </c>
      <c r="AY155" s="14"/>
      <c r="AZ155" s="217"/>
      <c r="BA155" s="22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</row>
    <row r="156" spans="11:71" ht="12.75">
      <c r="K156" s="68"/>
      <c r="L156" s="83"/>
      <c r="M156" s="68"/>
      <c r="N156" s="68"/>
      <c r="O156" s="68"/>
      <c r="P156" s="68"/>
      <c r="Q156" s="68"/>
      <c r="R156" s="68"/>
      <c r="S156" s="68"/>
      <c r="T156" s="24"/>
      <c r="U156" s="24"/>
      <c r="V156" s="24"/>
      <c r="W156" s="87"/>
      <c r="X156" s="88"/>
      <c r="Y156" s="79"/>
      <c r="Z156" s="79"/>
      <c r="AA156" s="32"/>
      <c r="AB156" s="32"/>
      <c r="AC156" s="32"/>
      <c r="AD156" s="32"/>
      <c r="AE156" s="32"/>
      <c r="AF156" s="135"/>
      <c r="AG156" s="135"/>
      <c r="AH156" s="135"/>
      <c r="AI156" s="327" t="s">
        <v>500</v>
      </c>
      <c r="AJ156" s="328">
        <v>18.4</v>
      </c>
      <c r="AK156" s="329">
        <v>0.45</v>
      </c>
      <c r="AL156" s="330">
        <v>7.59</v>
      </c>
      <c r="AM156" s="329">
        <v>0.75</v>
      </c>
      <c r="AN156" s="330">
        <v>1.15</v>
      </c>
      <c r="AO156" s="331">
        <v>117</v>
      </c>
      <c r="AP156" s="331">
        <v>133</v>
      </c>
      <c r="AR156" s="221" t="s">
        <v>294</v>
      </c>
      <c r="AS156" s="14"/>
      <c r="AT156" s="14"/>
      <c r="AU156" s="14"/>
      <c r="AV156" s="14"/>
      <c r="AW156" s="14"/>
      <c r="AX156" s="14"/>
      <c r="AY156" s="151" t="str">
        <f>IF($D$17="Yes",IF($C$12&gt;0,"    P="&amp;#REF!&amp;" k","    P=Pv"),"    P")</f>
        <v>    P</v>
      </c>
      <c r="AZ156" s="15"/>
      <c r="BA156" s="22"/>
      <c r="BB156" s="222" t="s">
        <v>295</v>
      </c>
      <c r="BC156" s="223"/>
      <c r="BD156" s="224"/>
      <c r="BE156" s="224"/>
      <c r="BF156" s="224"/>
      <c r="BG156" s="224"/>
      <c r="BH156" s="224"/>
      <c r="BI156" s="224"/>
      <c r="BJ156" s="224"/>
      <c r="BK156" s="223"/>
      <c r="BL156" s="224"/>
      <c r="BM156" s="224"/>
      <c r="BN156" s="224"/>
      <c r="BO156" s="225"/>
      <c r="BP156" s="224"/>
      <c r="BQ156" s="226"/>
      <c r="BR156" s="227"/>
      <c r="BS156" s="22"/>
    </row>
    <row r="157" spans="11:71" ht="12.75">
      <c r="K157" s="68"/>
      <c r="L157" s="68"/>
      <c r="M157" s="68"/>
      <c r="N157" s="68"/>
      <c r="O157" s="68"/>
      <c r="P157" s="68"/>
      <c r="Q157" s="68"/>
      <c r="R157" s="68"/>
      <c r="S157" s="68"/>
      <c r="T157" s="24"/>
      <c r="U157" s="24"/>
      <c r="V157" s="24"/>
      <c r="W157" s="87"/>
      <c r="X157" s="12"/>
      <c r="Y157" s="79"/>
      <c r="Z157" s="79"/>
      <c r="AA157" s="32"/>
      <c r="AB157" s="32"/>
      <c r="AC157" s="32"/>
      <c r="AD157" s="32"/>
      <c r="AE157" s="32"/>
      <c r="AF157" s="135"/>
      <c r="AG157" s="135"/>
      <c r="AH157" s="135"/>
      <c r="AI157" s="327" t="s">
        <v>501</v>
      </c>
      <c r="AJ157" s="328">
        <v>18.2</v>
      </c>
      <c r="AK157" s="329">
        <v>0.415</v>
      </c>
      <c r="AL157" s="330">
        <v>7.56</v>
      </c>
      <c r="AM157" s="329">
        <v>0.695</v>
      </c>
      <c r="AN157" s="330">
        <v>1.1</v>
      </c>
      <c r="AO157" s="331">
        <v>108</v>
      </c>
      <c r="AP157" s="331">
        <v>123</v>
      </c>
      <c r="AR157" s="19" t="s">
        <v>296</v>
      </c>
      <c r="AS157" s="14"/>
      <c r="AT157" s="14"/>
      <c r="AU157" s="14"/>
      <c r="AV157" s="14"/>
      <c r="AW157" s="14"/>
      <c r="AX157" s="14"/>
      <c r="AY157" s="14"/>
      <c r="AZ157" s="15"/>
      <c r="BA157" s="20"/>
      <c r="BB157" s="228"/>
      <c r="BC157" s="229" t="s">
        <v>7</v>
      </c>
      <c r="BD157" s="230"/>
      <c r="BE157" s="230"/>
      <c r="BF157" s="230"/>
      <c r="BG157" s="230"/>
      <c r="BH157" s="230"/>
      <c r="BI157" s="230"/>
      <c r="BJ157" s="230"/>
      <c r="BK157" s="231"/>
      <c r="BL157" s="230"/>
      <c r="BM157" s="230"/>
      <c r="BN157" s="230"/>
      <c r="BO157" s="230"/>
      <c r="BP157" s="230"/>
      <c r="BQ157" s="230"/>
      <c r="BR157" s="232"/>
      <c r="BS157" s="22"/>
    </row>
    <row r="158" spans="11:71" ht="12.75">
      <c r="K158" s="68"/>
      <c r="L158" s="83"/>
      <c r="M158" s="68"/>
      <c r="N158" s="68"/>
      <c r="O158" s="68"/>
      <c r="P158" s="68"/>
      <c r="Q158" s="68"/>
      <c r="R158" s="68"/>
      <c r="S158" s="68"/>
      <c r="T158" s="24"/>
      <c r="U158" s="24"/>
      <c r="V158" s="24"/>
      <c r="W158" s="90"/>
      <c r="X158" s="12"/>
      <c r="Y158" s="32"/>
      <c r="Z158" s="78"/>
      <c r="AA158" s="32"/>
      <c r="AB158" s="32"/>
      <c r="AC158" s="32"/>
      <c r="AD158" s="32"/>
      <c r="AE158" s="32"/>
      <c r="AF158" s="135"/>
      <c r="AG158" s="135"/>
      <c r="AH158" s="135"/>
      <c r="AI158" s="327" t="s">
        <v>502</v>
      </c>
      <c r="AJ158" s="328">
        <v>18.1</v>
      </c>
      <c r="AK158" s="329">
        <v>0.39</v>
      </c>
      <c r="AL158" s="330">
        <v>7.53</v>
      </c>
      <c r="AM158" s="329">
        <v>0.63</v>
      </c>
      <c r="AN158" s="330">
        <v>1.03</v>
      </c>
      <c r="AO158" s="328">
        <v>98.3</v>
      </c>
      <c r="AP158" s="331">
        <v>112</v>
      </c>
      <c r="AR158" s="19" t="s">
        <v>298</v>
      </c>
      <c r="AS158" s="233"/>
      <c r="AT158" s="20"/>
      <c r="AU158" s="20"/>
      <c r="AV158" s="152" t="str">
        <f>IF($D$17="Yes","L=","L")</f>
        <v>L</v>
      </c>
      <c r="AW158" s="14"/>
      <c r="AX158" s="151"/>
      <c r="AY158" s="14"/>
      <c r="AZ158" s="234"/>
      <c r="BA158" s="46"/>
      <c r="BB158" s="235" t="s">
        <v>299</v>
      </c>
      <c r="BC158" s="236">
        <v>0</v>
      </c>
      <c r="BD158" s="237">
        <v>0.1</v>
      </c>
      <c r="BE158" s="236">
        <v>0.2</v>
      </c>
      <c r="BF158" s="237">
        <v>0.3</v>
      </c>
      <c r="BG158" s="236">
        <v>0.4</v>
      </c>
      <c r="BH158" s="237">
        <v>0.5</v>
      </c>
      <c r="BI158" s="236">
        <v>0.6</v>
      </c>
      <c r="BJ158" s="237">
        <v>0.7</v>
      </c>
      <c r="BK158" s="236">
        <v>0.8</v>
      </c>
      <c r="BL158" s="237">
        <v>0.9</v>
      </c>
      <c r="BM158" s="238">
        <v>1</v>
      </c>
      <c r="BN158" s="237">
        <v>1.2</v>
      </c>
      <c r="BO158" s="236">
        <v>1.4</v>
      </c>
      <c r="BP158" s="237">
        <v>1.6</v>
      </c>
      <c r="BQ158" s="236">
        <v>1.8</v>
      </c>
      <c r="BR158" s="239">
        <v>2</v>
      </c>
      <c r="BS158" s="362" t="s">
        <v>300</v>
      </c>
    </row>
    <row r="159" spans="11:71" ht="12.75">
      <c r="K159" s="47"/>
      <c r="L159" s="4"/>
      <c r="M159" s="43"/>
      <c r="N159" s="43"/>
      <c r="O159" s="44"/>
      <c r="P159" s="44"/>
      <c r="Q159" s="44"/>
      <c r="R159" s="68"/>
      <c r="S159" s="68"/>
      <c r="T159" s="24"/>
      <c r="U159" s="24"/>
      <c r="V159" s="24"/>
      <c r="W159" s="90"/>
      <c r="X159" s="6"/>
      <c r="Y159" s="32"/>
      <c r="Z159" s="78"/>
      <c r="AA159" s="32"/>
      <c r="AB159" s="32"/>
      <c r="AC159" s="32"/>
      <c r="AD159" s="32"/>
      <c r="AE159" s="32"/>
      <c r="AF159" s="135"/>
      <c r="AG159" s="135"/>
      <c r="AH159" s="135"/>
      <c r="AI159" s="327" t="s">
        <v>503</v>
      </c>
      <c r="AJ159" s="328">
        <v>18</v>
      </c>
      <c r="AK159" s="329">
        <v>0.355</v>
      </c>
      <c r="AL159" s="330">
        <v>7.5</v>
      </c>
      <c r="AM159" s="329">
        <v>0.57</v>
      </c>
      <c r="AN159" s="329">
        <v>0.972</v>
      </c>
      <c r="AO159" s="328">
        <v>88.9</v>
      </c>
      <c r="AP159" s="331">
        <v>101</v>
      </c>
      <c r="AR159" s="19" t="s">
        <v>256</v>
      </c>
      <c r="AS159" s="14"/>
      <c r="AT159" s="14"/>
      <c r="AU159" s="14"/>
      <c r="AV159" s="211">
        <f>IF($D$17="Yes",#REF!,"")</f>
      </c>
      <c r="AW159" s="14"/>
      <c r="AX159" s="151" t="str">
        <f>IF($D$17="Yes","               Ph="&amp;$C$12&amp;" k","                       Ph")</f>
        <v>                       Ph</v>
      </c>
      <c r="AY159" s="14"/>
      <c r="AZ159" s="15"/>
      <c r="BA159" s="46"/>
      <c r="BB159" s="240">
        <v>0</v>
      </c>
      <c r="BC159" s="241">
        <v>3.71</v>
      </c>
      <c r="BD159" s="242">
        <v>3.71</v>
      </c>
      <c r="BE159" s="242">
        <v>3.71</v>
      </c>
      <c r="BF159" s="242">
        <v>3.71</v>
      </c>
      <c r="BG159" s="242">
        <v>3.71</v>
      </c>
      <c r="BH159" s="242">
        <v>3.71</v>
      </c>
      <c r="BI159" s="242">
        <v>3.71</v>
      </c>
      <c r="BJ159" s="242">
        <v>3.71</v>
      </c>
      <c r="BK159" s="242">
        <v>3.71</v>
      </c>
      <c r="BL159" s="242">
        <v>3.71</v>
      </c>
      <c r="BM159" s="242">
        <v>3.71</v>
      </c>
      <c r="BN159" s="242">
        <v>3.71</v>
      </c>
      <c r="BO159" s="242">
        <v>3.71</v>
      </c>
      <c r="BP159" s="242">
        <v>3.71</v>
      </c>
      <c r="BQ159" s="242">
        <v>3.71</v>
      </c>
      <c r="BR159" s="243">
        <v>3.71</v>
      </c>
      <c r="BS159" s="362">
        <v>1</v>
      </c>
    </row>
    <row r="160" spans="11:71" ht="12.75">
      <c r="K160" s="47"/>
      <c r="L160" s="4"/>
      <c r="M160" s="43"/>
      <c r="N160" s="43"/>
      <c r="O160" s="44"/>
      <c r="P160" s="44"/>
      <c r="Q160" s="44"/>
      <c r="R160" s="68"/>
      <c r="S160" s="68"/>
      <c r="T160" s="24"/>
      <c r="U160" s="24"/>
      <c r="V160" s="24"/>
      <c r="W160" s="90"/>
      <c r="X160" s="12"/>
      <c r="Y160" s="32"/>
      <c r="Z160" s="41"/>
      <c r="AA160" s="32"/>
      <c r="AB160" s="32"/>
      <c r="AC160" s="32"/>
      <c r="AD160" s="32"/>
      <c r="AE160" s="32"/>
      <c r="AF160" s="135"/>
      <c r="AG160" s="135"/>
      <c r="AH160" s="135"/>
      <c r="AI160" s="327" t="s">
        <v>504</v>
      </c>
      <c r="AJ160" s="328">
        <v>18.1</v>
      </c>
      <c r="AK160" s="329">
        <v>0.36</v>
      </c>
      <c r="AL160" s="330">
        <v>6.06</v>
      </c>
      <c r="AM160" s="329">
        <v>0.605</v>
      </c>
      <c r="AN160" s="330">
        <v>1.01</v>
      </c>
      <c r="AO160" s="328">
        <v>78.8</v>
      </c>
      <c r="AP160" s="328">
        <v>90.7</v>
      </c>
      <c r="AR160" s="244">
        <f>IF(BE140&gt;3,"Value of 'a' exceeds 3.0, beyond scope of table!","")</f>
      </c>
      <c r="AS160" s="14"/>
      <c r="AT160" s="14"/>
      <c r="AU160" s="14"/>
      <c r="AV160" s="14"/>
      <c r="AW160" s="14"/>
      <c r="AX160" s="153">
        <f>IF($D$17="Yes","                (@ C.G.)","")</f>
      </c>
      <c r="AY160" s="14"/>
      <c r="AZ160" s="15"/>
      <c r="BA160" s="46"/>
      <c r="BB160" s="245">
        <v>0.1</v>
      </c>
      <c r="BC160" s="246">
        <v>3.72</v>
      </c>
      <c r="BD160" s="247">
        <v>3.73</v>
      </c>
      <c r="BE160" s="247">
        <v>3.72</v>
      </c>
      <c r="BF160" s="247">
        <v>3.71</v>
      </c>
      <c r="BG160" s="247">
        <v>3.7</v>
      </c>
      <c r="BH160" s="247">
        <v>3.69</v>
      </c>
      <c r="BI160" s="247">
        <v>3.67</v>
      </c>
      <c r="BJ160" s="247">
        <v>3.65</v>
      </c>
      <c r="BK160" s="247">
        <v>3.63</v>
      </c>
      <c r="BL160" s="247">
        <v>3.61</v>
      </c>
      <c r="BM160" s="247">
        <v>3.6</v>
      </c>
      <c r="BN160" s="247">
        <v>3.56</v>
      </c>
      <c r="BO160" s="247">
        <v>3.52</v>
      </c>
      <c r="BP160" s="247">
        <v>3.48</v>
      </c>
      <c r="BQ160" s="247">
        <v>3.45</v>
      </c>
      <c r="BR160" s="248">
        <v>3.71</v>
      </c>
      <c r="BS160" s="362">
        <v>2</v>
      </c>
    </row>
    <row r="161" spans="11:71" ht="12.75">
      <c r="K161" s="74"/>
      <c r="L161" s="7"/>
      <c r="M161" s="43"/>
      <c r="N161" s="39"/>
      <c r="O161" s="39"/>
      <c r="P161" s="44"/>
      <c r="Q161" s="44"/>
      <c r="R161" s="68"/>
      <c r="S161" s="68"/>
      <c r="T161" s="24"/>
      <c r="U161" s="24"/>
      <c r="V161" s="24"/>
      <c r="W161" s="87"/>
      <c r="X161" s="10"/>
      <c r="Y161" s="79"/>
      <c r="Z161" s="79"/>
      <c r="AA161" s="32"/>
      <c r="AB161" s="32"/>
      <c r="AC161" s="32"/>
      <c r="AD161" s="32"/>
      <c r="AE161" s="32"/>
      <c r="AF161" s="135"/>
      <c r="AG161" s="135"/>
      <c r="AH161" s="135"/>
      <c r="AI161" s="327" t="s">
        <v>505</v>
      </c>
      <c r="AJ161" s="328">
        <v>17.9</v>
      </c>
      <c r="AK161" s="329">
        <v>0.315</v>
      </c>
      <c r="AL161" s="330">
        <v>6.02</v>
      </c>
      <c r="AM161" s="329">
        <v>0.525</v>
      </c>
      <c r="AN161" s="329">
        <v>0.927</v>
      </c>
      <c r="AO161" s="328">
        <v>68.4</v>
      </c>
      <c r="AP161" s="328">
        <v>78.4</v>
      </c>
      <c r="AR161" s="244">
        <f>IF(BE141&gt;2,"Value of 'k' exceeds 2.0, beyond scope of table!","")</f>
      </c>
      <c r="AS161" s="14"/>
      <c r="AT161" s="14"/>
      <c r="AU161" s="14"/>
      <c r="AV161" s="14"/>
      <c r="AW161" s="14"/>
      <c r="AX161" s="177" t="s">
        <v>301</v>
      </c>
      <c r="AY161" s="14"/>
      <c r="AZ161" s="15"/>
      <c r="BA161" s="46"/>
      <c r="BB161" s="245">
        <v>0.15</v>
      </c>
      <c r="BC161" s="246">
        <v>3.67</v>
      </c>
      <c r="BD161" s="247">
        <v>3.66</v>
      </c>
      <c r="BE161" s="247">
        <v>3.65</v>
      </c>
      <c r="BF161" s="247">
        <v>3.64</v>
      </c>
      <c r="BG161" s="247">
        <v>3.62</v>
      </c>
      <c r="BH161" s="247">
        <v>3.6</v>
      </c>
      <c r="BI161" s="247">
        <v>3.58</v>
      </c>
      <c r="BJ161" s="247">
        <v>3.56</v>
      </c>
      <c r="BK161" s="247">
        <v>3.54</v>
      </c>
      <c r="BL161" s="247">
        <v>3.52</v>
      </c>
      <c r="BM161" s="247">
        <v>3.5</v>
      </c>
      <c r="BN161" s="247">
        <v>3.47</v>
      </c>
      <c r="BO161" s="247">
        <v>3.43</v>
      </c>
      <c r="BP161" s="247">
        <v>3.4</v>
      </c>
      <c r="BQ161" s="247">
        <v>3.37</v>
      </c>
      <c r="BR161" s="248">
        <v>3.34</v>
      </c>
      <c r="BS161" s="362">
        <v>3</v>
      </c>
    </row>
    <row r="162" spans="11:71" ht="12.75">
      <c r="K162" s="44"/>
      <c r="L162" s="44"/>
      <c r="M162" s="44"/>
      <c r="N162" s="44"/>
      <c r="O162" s="44"/>
      <c r="P162" s="44"/>
      <c r="Q162" s="44"/>
      <c r="R162" s="68"/>
      <c r="S162" s="68"/>
      <c r="T162" s="24"/>
      <c r="U162" s="24"/>
      <c r="V162" s="24"/>
      <c r="W162" s="87"/>
      <c r="X162" s="10"/>
      <c r="Y162" s="79"/>
      <c r="Z162" s="79"/>
      <c r="AA162" s="32"/>
      <c r="AB162" s="32"/>
      <c r="AC162" s="32"/>
      <c r="AD162" s="32"/>
      <c r="AE162" s="32"/>
      <c r="AF162" s="135"/>
      <c r="AG162" s="135"/>
      <c r="AH162" s="135"/>
      <c r="AI162" s="327" t="s">
        <v>506</v>
      </c>
      <c r="AJ162" s="328">
        <v>17.7</v>
      </c>
      <c r="AK162" s="329">
        <v>0.3</v>
      </c>
      <c r="AL162" s="330">
        <v>6</v>
      </c>
      <c r="AM162" s="329">
        <v>0.425</v>
      </c>
      <c r="AN162" s="329">
        <v>0.827</v>
      </c>
      <c r="AO162" s="328">
        <v>57.6</v>
      </c>
      <c r="AP162" s="328">
        <v>66.5</v>
      </c>
      <c r="AR162" s="19"/>
      <c r="AS162" s="14"/>
      <c r="AT162" s="14"/>
      <c r="AU162" s="14"/>
      <c r="AV162" s="249" t="s">
        <v>302</v>
      </c>
      <c r="AW162" s="250"/>
      <c r="AX162" s="14"/>
      <c r="AY162" s="14"/>
      <c r="AZ162" s="15"/>
      <c r="BA162" s="46"/>
      <c r="BB162" s="245">
        <v>0.2</v>
      </c>
      <c r="BC162" s="246">
        <v>3.51</v>
      </c>
      <c r="BD162" s="247">
        <v>3.51</v>
      </c>
      <c r="BE162" s="247">
        <v>3.5</v>
      </c>
      <c r="BF162" s="247">
        <v>3.49</v>
      </c>
      <c r="BG162" s="247">
        <v>3.47</v>
      </c>
      <c r="BH162" s="247">
        <v>3.46</v>
      </c>
      <c r="BI162" s="247">
        <v>3.44</v>
      </c>
      <c r="BJ162" s="247">
        <v>3.43</v>
      </c>
      <c r="BK162" s="247">
        <v>3.41</v>
      </c>
      <c r="BL162" s="247">
        <v>3.4</v>
      </c>
      <c r="BM162" s="247">
        <v>3.38</v>
      </c>
      <c r="BN162" s="247">
        <v>3.36</v>
      </c>
      <c r="BO162" s="247" t="s">
        <v>303</v>
      </c>
      <c r="BP162" s="247">
        <v>3.3</v>
      </c>
      <c r="BQ162" s="247">
        <v>3.28</v>
      </c>
      <c r="BR162" s="248">
        <v>3.25</v>
      </c>
      <c r="BS162" s="362">
        <v>4</v>
      </c>
    </row>
    <row r="163" spans="11:71" ht="12.75">
      <c r="K163" s="93"/>
      <c r="L163" s="110"/>
      <c r="M163" s="43"/>
      <c r="N163" s="50"/>
      <c r="O163" s="39"/>
      <c r="P163" s="39"/>
      <c r="Q163" s="39"/>
      <c r="R163" s="68"/>
      <c r="S163" s="68"/>
      <c r="T163" s="24"/>
      <c r="U163" s="24"/>
      <c r="V163" s="24"/>
      <c r="W163" s="90"/>
      <c r="X163" s="12"/>
      <c r="Y163" s="32"/>
      <c r="Z163" s="78"/>
      <c r="AA163" s="32"/>
      <c r="AB163" s="32"/>
      <c r="AC163" s="32"/>
      <c r="AD163" s="32"/>
      <c r="AE163" s="32"/>
      <c r="AF163" s="135"/>
      <c r="AG163" s="135"/>
      <c r="AH163" s="135"/>
      <c r="AI163" s="327" t="s">
        <v>507</v>
      </c>
      <c r="AJ163" s="328">
        <v>17</v>
      </c>
      <c r="AK163" s="329">
        <v>0.585</v>
      </c>
      <c r="AL163" s="328">
        <v>10.4</v>
      </c>
      <c r="AM163" s="329">
        <v>0.985</v>
      </c>
      <c r="AN163" s="330">
        <v>1.39</v>
      </c>
      <c r="AO163" s="331">
        <v>175</v>
      </c>
      <c r="AP163" s="331">
        <v>198</v>
      </c>
      <c r="AR163" s="214" t="s">
        <v>20</v>
      </c>
      <c r="AS163" s="14"/>
      <c r="AT163" s="14"/>
      <c r="AU163" s="14"/>
      <c r="AV163" s="14"/>
      <c r="AW163" s="251"/>
      <c r="AX163" s="14"/>
      <c r="AY163" s="14"/>
      <c r="AZ163" s="15"/>
      <c r="BA163" s="46"/>
      <c r="BB163" s="245">
        <v>0.25</v>
      </c>
      <c r="BC163" s="246">
        <v>3.31</v>
      </c>
      <c r="BD163" s="247">
        <v>3.31</v>
      </c>
      <c r="BE163" s="247">
        <v>3.31</v>
      </c>
      <c r="BF163" s="247">
        <v>3.3</v>
      </c>
      <c r="BG163" s="247">
        <v>3.29</v>
      </c>
      <c r="BH163" s="247">
        <v>3.28</v>
      </c>
      <c r="BI163" s="247">
        <v>3.28</v>
      </c>
      <c r="BJ163" s="247">
        <v>3.27</v>
      </c>
      <c r="BK163" s="247">
        <v>3.26</v>
      </c>
      <c r="BL163" s="247">
        <v>3.26</v>
      </c>
      <c r="BM163" s="247">
        <v>3.25</v>
      </c>
      <c r="BN163" s="247">
        <v>3.23</v>
      </c>
      <c r="BO163" s="247">
        <v>3.22</v>
      </c>
      <c r="BP163" s="247">
        <v>3.2</v>
      </c>
      <c r="BQ163" s="247">
        <v>3.18</v>
      </c>
      <c r="BR163" s="248">
        <v>3.17</v>
      </c>
      <c r="BS163" s="362">
        <v>5</v>
      </c>
    </row>
    <row r="164" spans="11:71" ht="12.75">
      <c r="K164" s="93"/>
      <c r="L164" s="4"/>
      <c r="M164" s="43"/>
      <c r="N164" s="50"/>
      <c r="O164" s="39"/>
      <c r="P164" s="39"/>
      <c r="Q164" s="39"/>
      <c r="R164" s="68"/>
      <c r="S164" s="68"/>
      <c r="T164" s="24"/>
      <c r="U164" s="24"/>
      <c r="V164" s="24"/>
      <c r="W164" s="87"/>
      <c r="X164" s="8"/>
      <c r="Y164" s="79"/>
      <c r="Z164" s="32"/>
      <c r="AA164" s="32"/>
      <c r="AB164" s="32"/>
      <c r="AC164" s="32"/>
      <c r="AD164" s="32"/>
      <c r="AE164" s="32"/>
      <c r="AF164" s="32"/>
      <c r="AG164" s="32"/>
      <c r="AH164" s="32"/>
      <c r="AI164" s="327" t="s">
        <v>508</v>
      </c>
      <c r="AJ164" s="328">
        <v>16.8</v>
      </c>
      <c r="AK164" s="329">
        <v>0.525</v>
      </c>
      <c r="AL164" s="328">
        <v>10.4</v>
      </c>
      <c r="AM164" s="329">
        <v>0.875</v>
      </c>
      <c r="AN164" s="330">
        <v>1.28</v>
      </c>
      <c r="AO164" s="331">
        <v>155</v>
      </c>
      <c r="AP164" s="331">
        <v>175</v>
      </c>
      <c r="AR164" s="19"/>
      <c r="AS164" s="14"/>
      <c r="AT164" s="14"/>
      <c r="AU164" s="43" t="e">
        <f>IF(#REF!&gt;0,"(Note: AISC Method is used for inclined load)","(Note: AISC Method is used for P=Pv)")</f>
        <v>#REF!</v>
      </c>
      <c r="AV164" s="14"/>
      <c r="AW164" s="14"/>
      <c r="AX164" s="252"/>
      <c r="AY164" s="14"/>
      <c r="AZ164" s="15"/>
      <c r="BA164" s="46"/>
      <c r="BB164" s="245">
        <v>0.3</v>
      </c>
      <c r="BC164" s="246">
        <v>3.09</v>
      </c>
      <c r="BD164" s="247">
        <v>3.09</v>
      </c>
      <c r="BE164" s="247">
        <v>3.09</v>
      </c>
      <c r="BF164" s="247">
        <v>3.1</v>
      </c>
      <c r="BG164" s="247">
        <v>3.1</v>
      </c>
      <c r="BH164" s="247">
        <v>3.1</v>
      </c>
      <c r="BI164" s="247">
        <v>3.11</v>
      </c>
      <c r="BJ164" s="247">
        <v>3.11</v>
      </c>
      <c r="BK164" s="247">
        <v>3.11</v>
      </c>
      <c r="BL164" s="247">
        <v>3.11</v>
      </c>
      <c r="BM164" s="247">
        <v>3.11</v>
      </c>
      <c r="BN164" s="247">
        <v>3.11</v>
      </c>
      <c r="BO164" s="247">
        <v>3.11</v>
      </c>
      <c r="BP164" s="247">
        <v>3.1</v>
      </c>
      <c r="BQ164" s="247">
        <v>3.09</v>
      </c>
      <c r="BR164" s="248">
        <v>3.08</v>
      </c>
      <c r="BS164" s="362">
        <v>6</v>
      </c>
    </row>
    <row r="165" spans="11:71" ht="12.75">
      <c r="K165" s="51"/>
      <c r="L165" s="4"/>
      <c r="M165" s="5"/>
      <c r="N165" s="50"/>
      <c r="O165" s="39"/>
      <c r="P165" s="39"/>
      <c r="Q165" s="39"/>
      <c r="R165" s="68"/>
      <c r="S165" s="68"/>
      <c r="T165" s="24"/>
      <c r="U165" s="24"/>
      <c r="V165" s="24"/>
      <c r="W165" s="32"/>
      <c r="X165" s="32"/>
      <c r="Y165" s="32"/>
      <c r="Z165" s="32"/>
      <c r="AA165" s="32"/>
      <c r="AB165" s="32"/>
      <c r="AC165" s="32"/>
      <c r="AD165" s="32"/>
      <c r="AE165" s="32"/>
      <c r="AF165" s="344"/>
      <c r="AG165" s="344"/>
      <c r="AH165" s="344"/>
      <c r="AI165" s="327" t="s">
        <v>509</v>
      </c>
      <c r="AJ165" s="328">
        <v>16.5</v>
      </c>
      <c r="AK165" s="329">
        <v>0.455</v>
      </c>
      <c r="AL165" s="328">
        <v>10.3</v>
      </c>
      <c r="AM165" s="329">
        <v>0.76</v>
      </c>
      <c r="AN165" s="330">
        <v>1.16</v>
      </c>
      <c r="AO165" s="331">
        <v>134</v>
      </c>
      <c r="AP165" s="331">
        <v>150</v>
      </c>
      <c r="AR165" s="253" t="s">
        <v>255</v>
      </c>
      <c r="AS165" s="130"/>
      <c r="AT165" s="201" t="s">
        <v>19</v>
      </c>
      <c r="AU165" s="43" t="s">
        <v>256</v>
      </c>
      <c r="AV165" s="14"/>
      <c r="AW165" s="252"/>
      <c r="AX165" s="252"/>
      <c r="AY165" s="14"/>
      <c r="AZ165" s="15"/>
      <c r="BA165" s="46"/>
      <c r="BB165" s="245">
        <v>0.4</v>
      </c>
      <c r="BC165" s="254">
        <v>2.66</v>
      </c>
      <c r="BD165" s="255">
        <v>2.66</v>
      </c>
      <c r="BE165" s="255">
        <v>2.68</v>
      </c>
      <c r="BF165" s="247">
        <v>2.7</v>
      </c>
      <c r="BG165" s="247">
        <v>2.73</v>
      </c>
      <c r="BH165" s="247">
        <v>2.75</v>
      </c>
      <c r="BI165" s="247">
        <v>2.78</v>
      </c>
      <c r="BJ165" s="247">
        <v>2.8</v>
      </c>
      <c r="BK165" s="247">
        <v>2.82</v>
      </c>
      <c r="BL165" s="247">
        <v>2.83</v>
      </c>
      <c r="BM165" s="247">
        <v>2.85</v>
      </c>
      <c r="BN165" s="247">
        <v>2.87</v>
      </c>
      <c r="BO165" s="247">
        <v>2.89</v>
      </c>
      <c r="BP165" s="247">
        <v>2.9</v>
      </c>
      <c r="BQ165" s="247">
        <v>2.9</v>
      </c>
      <c r="BR165" s="248">
        <v>2.9</v>
      </c>
      <c r="BS165" s="362">
        <v>7</v>
      </c>
    </row>
    <row r="166" spans="11:71" ht="12.75">
      <c r="K166" s="44"/>
      <c r="L166" s="71"/>
      <c r="M166" s="43"/>
      <c r="N166" s="39"/>
      <c r="O166" s="39"/>
      <c r="P166" s="39"/>
      <c r="Q166" s="39"/>
      <c r="R166" s="68"/>
      <c r="S166" s="68"/>
      <c r="T166" s="24"/>
      <c r="U166" s="24"/>
      <c r="V166" s="24"/>
      <c r="W166" s="32"/>
      <c r="X166" s="32"/>
      <c r="Y166" s="32"/>
      <c r="Z166" s="79"/>
      <c r="AA166" s="32"/>
      <c r="AB166" s="32"/>
      <c r="AC166" s="32"/>
      <c r="AD166" s="32"/>
      <c r="AE166" s="32"/>
      <c r="AF166" s="79"/>
      <c r="AG166" s="79"/>
      <c r="AH166" s="79"/>
      <c r="AI166" s="327" t="s">
        <v>510</v>
      </c>
      <c r="AJ166" s="328">
        <v>16.3</v>
      </c>
      <c r="AK166" s="329">
        <v>0.395</v>
      </c>
      <c r="AL166" s="328">
        <v>10.2</v>
      </c>
      <c r="AM166" s="329">
        <v>0.665</v>
      </c>
      <c r="AN166" s="330">
        <v>1.07</v>
      </c>
      <c r="AO166" s="331">
        <v>117</v>
      </c>
      <c r="AP166" s="331">
        <v>130</v>
      </c>
      <c r="AR166" s="253" t="s">
        <v>257</v>
      </c>
      <c r="AS166" s="134"/>
      <c r="AT166" s="201" t="s">
        <v>19</v>
      </c>
      <c r="AU166" s="43" t="s">
        <v>258</v>
      </c>
      <c r="AV166" s="14"/>
      <c r="AW166" s="252"/>
      <c r="AX166" s="252"/>
      <c r="AY166" s="14"/>
      <c r="AZ166" s="15"/>
      <c r="BA166" s="46"/>
      <c r="BB166" s="245">
        <v>0.5</v>
      </c>
      <c r="BC166" s="254">
        <v>2.29</v>
      </c>
      <c r="BD166" s="255">
        <v>2.3</v>
      </c>
      <c r="BE166" s="255">
        <v>2.32</v>
      </c>
      <c r="BF166" s="255">
        <v>2.35</v>
      </c>
      <c r="BG166" s="255">
        <v>2.4</v>
      </c>
      <c r="BH166" s="255">
        <v>2.44</v>
      </c>
      <c r="BI166" s="255">
        <v>2.48</v>
      </c>
      <c r="BJ166" s="247">
        <v>2.52</v>
      </c>
      <c r="BK166" s="247">
        <v>2.55</v>
      </c>
      <c r="BL166" s="247">
        <v>2.58</v>
      </c>
      <c r="BM166" s="247">
        <v>2.61</v>
      </c>
      <c r="BN166" s="247">
        <v>2.65</v>
      </c>
      <c r="BO166" s="247">
        <v>2.68</v>
      </c>
      <c r="BP166" s="247">
        <v>2.71</v>
      </c>
      <c r="BQ166" s="247">
        <v>2.73</v>
      </c>
      <c r="BR166" s="248">
        <v>2.74</v>
      </c>
      <c r="BS166" s="362">
        <v>8</v>
      </c>
    </row>
    <row r="167" spans="11:71" ht="12.75">
      <c r="K167" s="71"/>
      <c r="L167" s="4"/>
      <c r="M167" s="43"/>
      <c r="N167" s="43"/>
      <c r="O167" s="39"/>
      <c r="P167" s="39"/>
      <c r="Q167" s="39"/>
      <c r="R167" s="68"/>
      <c r="S167" s="68"/>
      <c r="T167" s="24"/>
      <c r="U167" s="24"/>
      <c r="V167" s="24"/>
      <c r="W167" s="87"/>
      <c r="X167" s="10"/>
      <c r="Y167" s="79"/>
      <c r="Z167" s="41"/>
      <c r="AA167" s="32"/>
      <c r="AB167" s="32"/>
      <c r="AC167" s="32"/>
      <c r="AD167" s="32"/>
      <c r="AE167" s="32"/>
      <c r="AF167" s="79"/>
      <c r="AG167" s="79"/>
      <c r="AH167" s="79"/>
      <c r="AI167" s="327" t="s">
        <v>511</v>
      </c>
      <c r="AJ167" s="328">
        <v>16.4</v>
      </c>
      <c r="AK167" s="329">
        <v>0.43</v>
      </c>
      <c r="AL167" s="330">
        <v>7.12</v>
      </c>
      <c r="AM167" s="329">
        <v>0.715</v>
      </c>
      <c r="AN167" s="330">
        <v>1.12</v>
      </c>
      <c r="AO167" s="328">
        <v>92.2</v>
      </c>
      <c r="AP167" s="331">
        <v>105</v>
      </c>
      <c r="AR167" s="253" t="s">
        <v>260</v>
      </c>
      <c r="AS167" s="134"/>
      <c r="AT167" s="201" t="s">
        <v>19</v>
      </c>
      <c r="AU167" s="39" t="s">
        <v>261</v>
      </c>
      <c r="AV167" s="14"/>
      <c r="AW167" s="252"/>
      <c r="AX167" s="252"/>
      <c r="AY167" s="14"/>
      <c r="AZ167" s="15"/>
      <c r="BA167" s="46"/>
      <c r="BB167" s="245">
        <v>0.6</v>
      </c>
      <c r="BC167" s="254">
        <v>2</v>
      </c>
      <c r="BD167" s="255">
        <v>2</v>
      </c>
      <c r="BE167" s="255">
        <v>2.03</v>
      </c>
      <c r="BF167" s="255">
        <v>2.07</v>
      </c>
      <c r="BG167" s="255">
        <v>2.12</v>
      </c>
      <c r="BH167" s="255">
        <v>2.18</v>
      </c>
      <c r="BI167" s="255">
        <v>2.23</v>
      </c>
      <c r="BJ167" s="255">
        <v>2.28</v>
      </c>
      <c r="BK167" s="255">
        <v>2.32</v>
      </c>
      <c r="BL167" s="255">
        <v>2.36</v>
      </c>
      <c r="BM167" s="255">
        <v>2.39</v>
      </c>
      <c r="BN167" s="247">
        <v>2.45</v>
      </c>
      <c r="BO167" s="247">
        <v>2.5</v>
      </c>
      <c r="BP167" s="247">
        <v>2.54</v>
      </c>
      <c r="BQ167" s="247">
        <v>2.57</v>
      </c>
      <c r="BR167" s="248">
        <v>2.59</v>
      </c>
      <c r="BS167" s="362">
        <v>9</v>
      </c>
    </row>
    <row r="168" spans="11:71" ht="12.75">
      <c r="K168" s="71"/>
      <c r="L168" s="4"/>
      <c r="M168" s="50"/>
      <c r="N168" s="43"/>
      <c r="O168" s="44"/>
      <c r="P168" s="39"/>
      <c r="Q168" s="44"/>
      <c r="R168" s="68"/>
      <c r="S168" s="68"/>
      <c r="T168" s="24"/>
      <c r="U168" s="24"/>
      <c r="V168" s="24"/>
      <c r="W168" s="42"/>
      <c r="X168" s="55"/>
      <c r="Y168" s="26"/>
      <c r="Z168" s="33"/>
      <c r="AA168" s="24"/>
      <c r="AB168" s="24"/>
      <c r="AC168" s="24"/>
      <c r="AD168" s="24"/>
      <c r="AE168" s="24"/>
      <c r="AF168" s="26"/>
      <c r="AG168" s="26"/>
      <c r="AH168" s="26"/>
      <c r="AI168" s="327" t="s">
        <v>512</v>
      </c>
      <c r="AJ168" s="328">
        <v>16.3</v>
      </c>
      <c r="AK168" s="329">
        <v>0.38</v>
      </c>
      <c r="AL168" s="330">
        <v>7.07</v>
      </c>
      <c r="AM168" s="329">
        <v>0.63</v>
      </c>
      <c r="AN168" s="330">
        <v>1.03</v>
      </c>
      <c r="AO168" s="328">
        <v>81</v>
      </c>
      <c r="AP168" s="328">
        <v>92</v>
      </c>
      <c r="AR168" s="253" t="s">
        <v>263</v>
      </c>
      <c r="AS168" s="134"/>
      <c r="AT168" s="256" t="e">
        <f>IF(#REF!&gt;3,"&gt; 3.0","")</f>
        <v>#REF!</v>
      </c>
      <c r="AU168" s="73" t="s">
        <v>264</v>
      </c>
      <c r="AV168" s="14"/>
      <c r="AW168" s="252"/>
      <c r="AX168" s="257"/>
      <c r="AY168" s="14"/>
      <c r="AZ168" s="15"/>
      <c r="BA168" s="46"/>
      <c r="BB168" s="245">
        <v>0.7</v>
      </c>
      <c r="BC168" s="254">
        <v>1.76</v>
      </c>
      <c r="BD168" s="255">
        <v>1.76</v>
      </c>
      <c r="BE168" s="255">
        <v>1.79</v>
      </c>
      <c r="BF168" s="255">
        <v>1.84</v>
      </c>
      <c r="BG168" s="255">
        <v>1.9</v>
      </c>
      <c r="BH168" s="255">
        <v>1.96</v>
      </c>
      <c r="BI168" s="255">
        <v>2.02</v>
      </c>
      <c r="BJ168" s="255">
        <v>2.07</v>
      </c>
      <c r="BK168" s="255">
        <v>2.12</v>
      </c>
      <c r="BL168" s="255">
        <v>2.16</v>
      </c>
      <c r="BM168" s="255">
        <v>2.21</v>
      </c>
      <c r="BN168" s="255">
        <v>2.28</v>
      </c>
      <c r="BO168" s="247">
        <v>2.33</v>
      </c>
      <c r="BP168" s="247">
        <v>2.38</v>
      </c>
      <c r="BQ168" s="247">
        <v>2.42</v>
      </c>
      <c r="BR168" s="248">
        <v>2.45</v>
      </c>
      <c r="BS168" s="362">
        <v>10</v>
      </c>
    </row>
    <row r="169" spans="11:71" ht="12.75">
      <c r="K169" s="47"/>
      <c r="L169" s="67"/>
      <c r="M169" s="43"/>
      <c r="N169" s="43"/>
      <c r="O169" s="44"/>
      <c r="P169" s="44"/>
      <c r="Q169" s="44"/>
      <c r="R169" s="68"/>
      <c r="S169" s="68"/>
      <c r="T169" s="24"/>
      <c r="U169" s="24"/>
      <c r="V169" s="24"/>
      <c r="W169" s="42"/>
      <c r="X169" s="55"/>
      <c r="Y169" s="26"/>
      <c r="Z169" s="26"/>
      <c r="AA169" s="24"/>
      <c r="AB169" s="24"/>
      <c r="AC169" s="24"/>
      <c r="AD169" s="24"/>
      <c r="AE169" s="24"/>
      <c r="AF169" s="26"/>
      <c r="AG169" s="26"/>
      <c r="AH169" s="26"/>
      <c r="AI169" s="327" t="s">
        <v>513</v>
      </c>
      <c r="AJ169" s="328">
        <v>16.1</v>
      </c>
      <c r="AK169" s="329">
        <v>0.345</v>
      </c>
      <c r="AL169" s="330">
        <v>7.04</v>
      </c>
      <c r="AM169" s="329">
        <v>0.565</v>
      </c>
      <c r="AN169" s="329">
        <v>0.967</v>
      </c>
      <c r="AO169" s="328">
        <v>72.7</v>
      </c>
      <c r="AP169" s="328">
        <v>82.3</v>
      </c>
      <c r="AR169" s="253" t="s">
        <v>2</v>
      </c>
      <c r="AS169" s="134"/>
      <c r="AT169" s="256" t="e">
        <f>IF(#REF!&gt;2,"&gt; 2.0","")</f>
        <v>#REF!</v>
      </c>
      <c r="AU169" s="73" t="str">
        <f>IF($D$17="No","k = (kL)/L","k = 0  (for Special Case)")</f>
        <v>k = 0  (for Special Case)</v>
      </c>
      <c r="AV169" s="14"/>
      <c r="AW169" s="40"/>
      <c r="AX169" s="257"/>
      <c r="AY169" s="14"/>
      <c r="AZ169" s="15"/>
      <c r="BA169" s="46"/>
      <c r="BB169" s="245">
        <v>0.8</v>
      </c>
      <c r="BC169" s="254">
        <v>1.56</v>
      </c>
      <c r="BD169" s="255">
        <v>1.57</v>
      </c>
      <c r="BE169" s="255">
        <v>1.6</v>
      </c>
      <c r="BF169" s="255">
        <v>1.65</v>
      </c>
      <c r="BG169" s="255">
        <v>1.71</v>
      </c>
      <c r="BH169" s="255">
        <v>1.77</v>
      </c>
      <c r="BI169" s="255">
        <v>1.84</v>
      </c>
      <c r="BJ169" s="255">
        <v>1.9</v>
      </c>
      <c r="BK169" s="255">
        <v>1.95</v>
      </c>
      <c r="BL169" s="255">
        <v>2</v>
      </c>
      <c r="BM169" s="255">
        <v>2.04</v>
      </c>
      <c r="BN169" s="255">
        <v>2.12</v>
      </c>
      <c r="BO169" s="255">
        <v>2.19</v>
      </c>
      <c r="BP169" s="255">
        <v>2.24</v>
      </c>
      <c r="BQ169" s="247">
        <v>2.29</v>
      </c>
      <c r="BR169" s="248">
        <v>2.32</v>
      </c>
      <c r="BS169" s="362">
        <v>11</v>
      </c>
    </row>
    <row r="170" spans="11:71" ht="12.75">
      <c r="K170" s="71"/>
      <c r="L170" s="4"/>
      <c r="M170" s="43"/>
      <c r="N170" s="43"/>
      <c r="O170" s="39"/>
      <c r="P170" s="44"/>
      <c r="Q170" s="45"/>
      <c r="R170" s="68"/>
      <c r="S170" s="68"/>
      <c r="T170" s="24"/>
      <c r="U170" s="24"/>
      <c r="V170" s="24"/>
      <c r="W170" s="42"/>
      <c r="X170" s="55"/>
      <c r="Y170" s="26"/>
      <c r="Z170" s="26"/>
      <c r="AA170" s="24"/>
      <c r="AB170" s="24"/>
      <c r="AC170" s="24"/>
      <c r="AD170" s="24"/>
      <c r="AE170" s="24"/>
      <c r="AF170" s="26"/>
      <c r="AG170" s="26"/>
      <c r="AH170" s="26"/>
      <c r="AI170" s="327" t="s">
        <v>514</v>
      </c>
      <c r="AJ170" s="328">
        <v>16</v>
      </c>
      <c r="AK170" s="329">
        <v>0.305</v>
      </c>
      <c r="AL170" s="330">
        <v>7</v>
      </c>
      <c r="AM170" s="329">
        <v>0.505</v>
      </c>
      <c r="AN170" s="329">
        <v>0.907</v>
      </c>
      <c r="AO170" s="328">
        <v>64.7</v>
      </c>
      <c r="AP170" s="328">
        <v>73</v>
      </c>
      <c r="AR170" s="258" t="s">
        <v>266</v>
      </c>
      <c r="AS170" s="259"/>
      <c r="AT170" s="201"/>
      <c r="AU170" s="43" t="s">
        <v>267</v>
      </c>
      <c r="AV170" s="14"/>
      <c r="AW170" s="257"/>
      <c r="AX170" s="257"/>
      <c r="AY170" s="14"/>
      <c r="AZ170" s="15"/>
      <c r="BA170" s="46"/>
      <c r="BB170" s="245">
        <v>0.9</v>
      </c>
      <c r="BC170" s="254">
        <v>1.41</v>
      </c>
      <c r="BD170" s="255">
        <v>1.41</v>
      </c>
      <c r="BE170" s="255">
        <v>1.44</v>
      </c>
      <c r="BF170" s="255">
        <v>1.49</v>
      </c>
      <c r="BG170" s="255">
        <v>1.56</v>
      </c>
      <c r="BH170" s="255">
        <v>1.62</v>
      </c>
      <c r="BI170" s="255">
        <v>1.69</v>
      </c>
      <c r="BJ170" s="255">
        <v>1.75</v>
      </c>
      <c r="BK170" s="255">
        <v>1.8</v>
      </c>
      <c r="BL170" s="255">
        <v>1.85</v>
      </c>
      <c r="BM170" s="255">
        <v>1.9</v>
      </c>
      <c r="BN170" s="255">
        <v>1.98</v>
      </c>
      <c r="BO170" s="255">
        <v>2.05</v>
      </c>
      <c r="BP170" s="255">
        <v>2.11</v>
      </c>
      <c r="BQ170" s="255">
        <v>2.16</v>
      </c>
      <c r="BR170" s="248">
        <v>2.21</v>
      </c>
      <c r="BS170" s="362">
        <v>12</v>
      </c>
    </row>
    <row r="171" spans="11:71" ht="12.75">
      <c r="K171" s="71"/>
      <c r="L171" s="4"/>
      <c r="M171" s="43"/>
      <c r="N171" s="44"/>
      <c r="O171" s="44"/>
      <c r="P171" s="44"/>
      <c r="Q171" s="44"/>
      <c r="R171" s="68"/>
      <c r="S171" s="68"/>
      <c r="T171" s="24"/>
      <c r="U171" s="24"/>
      <c r="V171" s="24"/>
      <c r="W171" s="28"/>
      <c r="X171" s="56"/>
      <c r="Y171" s="26"/>
      <c r="Z171" s="26"/>
      <c r="AA171" s="24"/>
      <c r="AB171" s="24"/>
      <c r="AC171" s="24"/>
      <c r="AD171" s="24"/>
      <c r="AE171" s="24"/>
      <c r="AF171" s="26"/>
      <c r="AG171" s="26"/>
      <c r="AH171" s="26"/>
      <c r="AI171" s="327" t="s">
        <v>515</v>
      </c>
      <c r="AJ171" s="328">
        <v>15.9</v>
      </c>
      <c r="AK171" s="329">
        <v>0.295</v>
      </c>
      <c r="AL171" s="330">
        <v>6.99</v>
      </c>
      <c r="AM171" s="329">
        <v>0.43</v>
      </c>
      <c r="AN171" s="329">
        <v>0.832</v>
      </c>
      <c r="AO171" s="328">
        <v>56.5</v>
      </c>
      <c r="AP171" s="328">
        <v>64</v>
      </c>
      <c r="AR171" s="253" t="s">
        <v>269</v>
      </c>
      <c r="AS171" s="134"/>
      <c r="AT171" s="260"/>
      <c r="AU171" s="73" t="s">
        <v>304</v>
      </c>
      <c r="AV171" s="14"/>
      <c r="AW171" s="257"/>
      <c r="AX171" s="257"/>
      <c r="AY171" s="14"/>
      <c r="AZ171" s="15"/>
      <c r="BA171" s="46"/>
      <c r="BB171" s="245">
        <v>1</v>
      </c>
      <c r="BC171" s="254">
        <v>1.28</v>
      </c>
      <c r="BD171" s="255">
        <v>1.28</v>
      </c>
      <c r="BE171" s="255">
        <v>1.31</v>
      </c>
      <c r="BF171" s="255">
        <v>1.37</v>
      </c>
      <c r="BG171" s="255">
        <v>1.43</v>
      </c>
      <c r="BH171" s="255">
        <v>1.49</v>
      </c>
      <c r="BI171" s="255">
        <v>1.56</v>
      </c>
      <c r="BJ171" s="255">
        <v>1.62</v>
      </c>
      <c r="BK171" s="255">
        <v>1.67</v>
      </c>
      <c r="BL171" s="255">
        <v>1.73</v>
      </c>
      <c r="BM171" s="255">
        <v>1.77</v>
      </c>
      <c r="BN171" s="255">
        <v>1.86</v>
      </c>
      <c r="BO171" s="255">
        <v>1.94</v>
      </c>
      <c r="BP171" s="255">
        <v>2</v>
      </c>
      <c r="BQ171" s="255">
        <v>2.05</v>
      </c>
      <c r="BR171" s="261">
        <v>2.1</v>
      </c>
      <c r="BS171" s="362">
        <v>13</v>
      </c>
    </row>
    <row r="172" spans="11:71" ht="12.75">
      <c r="K172" s="71"/>
      <c r="L172" s="4"/>
      <c r="M172" s="50"/>
      <c r="N172" s="43"/>
      <c r="O172" s="44"/>
      <c r="P172" s="44"/>
      <c r="Q172" s="44"/>
      <c r="R172" s="68"/>
      <c r="S172" s="68"/>
      <c r="T172" s="24"/>
      <c r="U172" s="24"/>
      <c r="V172" s="24"/>
      <c r="W172" s="59"/>
      <c r="X172" s="56"/>
      <c r="Y172" s="24"/>
      <c r="Z172" s="60"/>
      <c r="AA172" s="24"/>
      <c r="AB172" s="24"/>
      <c r="AC172" s="24"/>
      <c r="AD172" s="24"/>
      <c r="AE172" s="24"/>
      <c r="AF172" s="26"/>
      <c r="AG172" s="26"/>
      <c r="AH172" s="26"/>
      <c r="AI172" s="327" t="s">
        <v>516</v>
      </c>
      <c r="AJ172" s="328">
        <v>15.9</v>
      </c>
      <c r="AK172" s="329">
        <v>0.275</v>
      </c>
      <c r="AL172" s="330">
        <v>5.53</v>
      </c>
      <c r="AM172" s="329">
        <v>0.44</v>
      </c>
      <c r="AN172" s="329">
        <v>0.842</v>
      </c>
      <c r="AO172" s="328">
        <v>47.2</v>
      </c>
      <c r="AP172" s="328">
        <v>54</v>
      </c>
      <c r="AR172" s="258" t="s">
        <v>272</v>
      </c>
      <c r="AS172" s="132"/>
      <c r="AT172" s="201" t="s">
        <v>9</v>
      </c>
      <c r="AU172" s="43" t="s">
        <v>273</v>
      </c>
      <c r="AV172" s="14"/>
      <c r="AW172" s="257"/>
      <c r="AX172" s="257"/>
      <c r="AY172" s="14"/>
      <c r="AZ172" s="15"/>
      <c r="BA172" s="46"/>
      <c r="BB172" s="245">
        <v>1.2</v>
      </c>
      <c r="BC172" s="254">
        <v>1.07</v>
      </c>
      <c r="BD172" s="255">
        <v>1.08</v>
      </c>
      <c r="BE172" s="255">
        <v>1.11</v>
      </c>
      <c r="BF172" s="255">
        <v>1.16</v>
      </c>
      <c r="BG172" s="255">
        <v>1.22</v>
      </c>
      <c r="BH172" s="255">
        <v>1.28</v>
      </c>
      <c r="BI172" s="255">
        <v>1.35</v>
      </c>
      <c r="BJ172" s="255">
        <v>1.41</v>
      </c>
      <c r="BK172" s="255">
        <v>1.46</v>
      </c>
      <c r="BL172" s="255">
        <v>1.51</v>
      </c>
      <c r="BM172" s="255">
        <v>1.57</v>
      </c>
      <c r="BN172" s="255">
        <v>1.66</v>
      </c>
      <c r="BO172" s="255">
        <v>1.73</v>
      </c>
      <c r="BP172" s="255">
        <v>1.8</v>
      </c>
      <c r="BQ172" s="255">
        <v>1.86</v>
      </c>
      <c r="BR172" s="261">
        <v>1.91</v>
      </c>
      <c r="BS172" s="362">
        <v>14</v>
      </c>
    </row>
    <row r="173" spans="11:71" ht="12.75">
      <c r="K173" s="50"/>
      <c r="L173" s="44"/>
      <c r="M173" s="44"/>
      <c r="N173" s="50"/>
      <c r="O173" s="44"/>
      <c r="P173" s="44"/>
      <c r="Q173" s="44"/>
      <c r="R173" s="68"/>
      <c r="S173" s="68"/>
      <c r="T173" s="24"/>
      <c r="U173" s="24"/>
      <c r="V173" s="24"/>
      <c r="W173" s="28"/>
      <c r="X173" s="56"/>
      <c r="Y173" s="26"/>
      <c r="Z173" s="26"/>
      <c r="AA173" s="24"/>
      <c r="AB173" s="24"/>
      <c r="AC173" s="24"/>
      <c r="AD173" s="24"/>
      <c r="AE173" s="24"/>
      <c r="AF173" s="26"/>
      <c r="AG173" s="26"/>
      <c r="AH173" s="26"/>
      <c r="AI173" s="327" t="s">
        <v>517</v>
      </c>
      <c r="AJ173" s="328">
        <v>15.7</v>
      </c>
      <c r="AK173" s="329">
        <v>0.25</v>
      </c>
      <c r="AL173" s="330">
        <v>5.5</v>
      </c>
      <c r="AM173" s="329">
        <v>0.345</v>
      </c>
      <c r="AN173" s="329">
        <v>0.747</v>
      </c>
      <c r="AO173" s="328">
        <v>38.4</v>
      </c>
      <c r="AP173" s="328">
        <v>44.2</v>
      </c>
      <c r="AR173" s="258" t="s">
        <v>305</v>
      </c>
      <c r="AS173" s="134"/>
      <c r="AT173" s="201" t="s">
        <v>276</v>
      </c>
      <c r="AU173" s="63" t="s">
        <v>306</v>
      </c>
      <c r="AV173" s="257"/>
      <c r="AW173" s="257"/>
      <c r="AX173" s="257"/>
      <c r="AY173" s="14"/>
      <c r="AZ173" s="15"/>
      <c r="BA173" s="46"/>
      <c r="BB173" s="245">
        <v>1.4</v>
      </c>
      <c r="BC173" s="254">
        <v>0.927</v>
      </c>
      <c r="BD173" s="255">
        <v>0.935</v>
      </c>
      <c r="BE173" s="255">
        <v>0.965</v>
      </c>
      <c r="BF173" s="255">
        <v>1.01</v>
      </c>
      <c r="BG173" s="255">
        <v>1.07</v>
      </c>
      <c r="BH173" s="255">
        <v>1.13</v>
      </c>
      <c r="BI173" s="255">
        <v>1.19</v>
      </c>
      <c r="BJ173" s="255">
        <v>1.24</v>
      </c>
      <c r="BK173" s="255">
        <v>1.3</v>
      </c>
      <c r="BL173" s="255">
        <v>1.35</v>
      </c>
      <c r="BM173" s="255">
        <v>1.4</v>
      </c>
      <c r="BN173" s="255">
        <v>1.49</v>
      </c>
      <c r="BO173" s="255">
        <v>1.57</v>
      </c>
      <c r="BP173" s="255">
        <v>1.64</v>
      </c>
      <c r="BQ173" s="255">
        <v>1.7</v>
      </c>
      <c r="BR173" s="261">
        <v>1.76</v>
      </c>
      <c r="BS173" s="362">
        <v>15</v>
      </c>
    </row>
    <row r="174" spans="11:71" ht="15.75">
      <c r="K174" s="71"/>
      <c r="L174" s="4"/>
      <c r="M174" s="44"/>
      <c r="N174" s="50"/>
      <c r="O174" s="44"/>
      <c r="P174" s="44"/>
      <c r="Q174" s="44"/>
      <c r="R174" s="68"/>
      <c r="S174" s="68"/>
      <c r="T174" s="24"/>
      <c r="U174" s="24"/>
      <c r="V174" s="24"/>
      <c r="W174" s="59"/>
      <c r="X174" s="56"/>
      <c r="Y174" s="24"/>
      <c r="Z174" s="60"/>
      <c r="AA174" s="24"/>
      <c r="AB174" s="24"/>
      <c r="AC174" s="24"/>
      <c r="AD174" s="24"/>
      <c r="AE174" s="24"/>
      <c r="AF174" s="26"/>
      <c r="AG174" s="26"/>
      <c r="AH174" s="26"/>
      <c r="AI174" s="327" t="s">
        <v>518</v>
      </c>
      <c r="AJ174" s="328">
        <v>22.4</v>
      </c>
      <c r="AK174" s="330">
        <v>3.07</v>
      </c>
      <c r="AL174" s="328">
        <v>17.9</v>
      </c>
      <c r="AM174" s="330">
        <v>4.91</v>
      </c>
      <c r="AN174" s="330">
        <v>5.51</v>
      </c>
      <c r="AO174" s="331">
        <v>1280</v>
      </c>
      <c r="AP174" s="331">
        <v>1660</v>
      </c>
      <c r="AR174" s="253" t="s">
        <v>307</v>
      </c>
      <c r="AS174" s="134"/>
      <c r="AT174" s="260"/>
      <c r="AU174" s="73" t="str">
        <f>IF($C$16="ASD","C(MIN) = PaΩ/(C1*D*L)","C(MIN) = Pu/(ΦC1*D*L)")</f>
        <v>C(MIN) = Pu/(ΦC1*D*L)</v>
      </c>
      <c r="AV174" s="14"/>
      <c r="AW174" s="22"/>
      <c r="AX174" s="14"/>
      <c r="AY174" s="14"/>
      <c r="AZ174" s="15"/>
      <c r="BA174" s="46"/>
      <c r="BB174" s="245">
        <v>1.6</v>
      </c>
      <c r="BC174" s="254">
        <v>0.815</v>
      </c>
      <c r="BD174" s="255">
        <v>0.821</v>
      </c>
      <c r="BE174" s="255">
        <v>0.851</v>
      </c>
      <c r="BF174" s="255">
        <v>0.893</v>
      </c>
      <c r="BG174" s="255">
        <v>0.944</v>
      </c>
      <c r="BH174" s="255">
        <v>1</v>
      </c>
      <c r="BI174" s="255">
        <v>1.06</v>
      </c>
      <c r="BJ174" s="255">
        <v>1.11</v>
      </c>
      <c r="BK174" s="255">
        <v>1.16</v>
      </c>
      <c r="BL174" s="255">
        <v>1.21</v>
      </c>
      <c r="BM174" s="255">
        <v>1.26</v>
      </c>
      <c r="BN174" s="255">
        <v>1.35</v>
      </c>
      <c r="BO174" s="255">
        <v>1.43</v>
      </c>
      <c r="BP174" s="255">
        <v>1.5</v>
      </c>
      <c r="BQ174" s="255">
        <v>1.57</v>
      </c>
      <c r="BR174" s="261">
        <v>1.62</v>
      </c>
      <c r="BS174" s="362">
        <v>16</v>
      </c>
    </row>
    <row r="175" spans="11:71" ht="15.75">
      <c r="K175" s="71"/>
      <c r="L175" s="4"/>
      <c r="M175" s="50"/>
      <c r="N175" s="50"/>
      <c r="O175" s="44"/>
      <c r="P175" s="44"/>
      <c r="Q175" s="44"/>
      <c r="R175" s="68"/>
      <c r="S175" s="68"/>
      <c r="T175" s="24"/>
      <c r="U175" s="24"/>
      <c r="V175" s="24"/>
      <c r="W175" s="59"/>
      <c r="X175" s="37"/>
      <c r="Y175" s="24"/>
      <c r="Z175" s="60"/>
      <c r="AA175" s="24"/>
      <c r="AB175" s="24"/>
      <c r="AC175" s="24"/>
      <c r="AD175" s="24"/>
      <c r="AE175" s="24"/>
      <c r="AF175" s="26"/>
      <c r="AG175" s="26"/>
      <c r="AH175" s="26"/>
      <c r="AI175" s="327" t="s">
        <v>519</v>
      </c>
      <c r="AJ175" s="328">
        <v>21.6</v>
      </c>
      <c r="AK175" s="330">
        <v>2.83</v>
      </c>
      <c r="AL175" s="328">
        <v>17.7</v>
      </c>
      <c r="AM175" s="330">
        <v>4.52</v>
      </c>
      <c r="AN175" s="330">
        <v>5.12</v>
      </c>
      <c r="AO175" s="331">
        <v>1150</v>
      </c>
      <c r="AP175" s="331">
        <v>1480</v>
      </c>
      <c r="AR175" s="253" t="s">
        <v>308</v>
      </c>
      <c r="AS175" s="134"/>
      <c r="AT175" s="201" t="s">
        <v>280</v>
      </c>
      <c r="AU175" s="73" t="str">
        <f>IF($C$16="ASD","D(MIN) = PaΩ/(C*C1*L)","D(MIN) = Pu/(ΦC*C1*L)")</f>
        <v>D(MIN) = Pu/(ΦC*C1*L)</v>
      </c>
      <c r="AV175" s="257"/>
      <c r="AW175" s="262"/>
      <c r="AX175" s="39"/>
      <c r="AY175" s="14"/>
      <c r="AZ175" s="15"/>
      <c r="BA175" s="46"/>
      <c r="BB175" s="245">
        <v>1.8</v>
      </c>
      <c r="BC175" s="254">
        <v>0.725</v>
      </c>
      <c r="BD175" s="255">
        <v>0.733</v>
      </c>
      <c r="BE175" s="255">
        <v>0.76</v>
      </c>
      <c r="BF175" s="255">
        <v>0.8</v>
      </c>
      <c r="BG175" s="255">
        <v>0.847</v>
      </c>
      <c r="BH175" s="255">
        <v>0.899</v>
      </c>
      <c r="BI175" s="255">
        <v>0.952</v>
      </c>
      <c r="BJ175" s="255">
        <v>1</v>
      </c>
      <c r="BK175" s="255">
        <v>1.05</v>
      </c>
      <c r="BL175" s="255">
        <v>1.1</v>
      </c>
      <c r="BM175" s="255">
        <v>1.15</v>
      </c>
      <c r="BN175" s="255">
        <v>1.24</v>
      </c>
      <c r="BO175" s="255">
        <v>1.32</v>
      </c>
      <c r="BP175" s="255">
        <v>1.39</v>
      </c>
      <c r="BQ175" s="255">
        <v>1.45</v>
      </c>
      <c r="BR175" s="261">
        <v>1.51</v>
      </c>
      <c r="BS175" s="362">
        <v>17</v>
      </c>
    </row>
    <row r="176" spans="11:71" ht="15.75">
      <c r="K176" s="75"/>
      <c r="L176" s="40"/>
      <c r="M176" s="50"/>
      <c r="N176" s="63"/>
      <c r="O176" s="44"/>
      <c r="P176" s="44"/>
      <c r="Q176" s="44"/>
      <c r="R176" s="68"/>
      <c r="S176" s="68"/>
      <c r="T176" s="24"/>
      <c r="U176" s="24"/>
      <c r="V176" s="24"/>
      <c r="W176" s="59"/>
      <c r="X176" s="56"/>
      <c r="Y176" s="24"/>
      <c r="Z176" s="41"/>
      <c r="AA176" s="24"/>
      <c r="AB176" s="24"/>
      <c r="AC176" s="24"/>
      <c r="AD176" s="24"/>
      <c r="AE176" s="24"/>
      <c r="AF176" s="26"/>
      <c r="AG176" s="26"/>
      <c r="AH176" s="26"/>
      <c r="AI176" s="327" t="s">
        <v>520</v>
      </c>
      <c r="AJ176" s="328">
        <v>20.9</v>
      </c>
      <c r="AK176" s="330">
        <v>2.6</v>
      </c>
      <c r="AL176" s="328">
        <v>17.4</v>
      </c>
      <c r="AM176" s="330">
        <v>4.16</v>
      </c>
      <c r="AN176" s="330">
        <v>4.76</v>
      </c>
      <c r="AO176" s="331">
        <v>1040</v>
      </c>
      <c r="AP176" s="331">
        <v>1320</v>
      </c>
      <c r="AR176" s="253" t="s">
        <v>309</v>
      </c>
      <c r="AS176" s="263"/>
      <c r="AT176" s="201" t="s">
        <v>19</v>
      </c>
      <c r="AU176" s="73" t="str">
        <f>IF($C$16="ASD","L(MIN) = PaΩ/(C*C1*D)","L(MIN) = Pu/(ΦC*C1*D)")</f>
        <v>L(MIN) = Pu/(ΦC*C1*D)</v>
      </c>
      <c r="AV176" s="264"/>
      <c r="AW176" s="262"/>
      <c r="AX176" s="39"/>
      <c r="AY176" s="14"/>
      <c r="AZ176" s="15"/>
      <c r="BA176" s="46"/>
      <c r="BB176" s="245">
        <v>2</v>
      </c>
      <c r="BC176" s="254">
        <v>0.655</v>
      </c>
      <c r="BD176" s="255">
        <v>0.661</v>
      </c>
      <c r="BE176" s="255">
        <v>0.687</v>
      </c>
      <c r="BF176" s="255">
        <v>0.723</v>
      </c>
      <c r="BG176" s="255">
        <v>0.768</v>
      </c>
      <c r="BH176" s="255">
        <v>0.816</v>
      </c>
      <c r="BI176" s="255">
        <v>0.867</v>
      </c>
      <c r="BJ176" s="255">
        <v>0.916</v>
      </c>
      <c r="BK176" s="255">
        <v>0.964</v>
      </c>
      <c r="BL176" s="255">
        <v>1.01</v>
      </c>
      <c r="BM176" s="255">
        <v>1.06</v>
      </c>
      <c r="BN176" s="255">
        <v>1.14</v>
      </c>
      <c r="BO176" s="255">
        <v>1.22</v>
      </c>
      <c r="BP176" s="255">
        <v>1.29</v>
      </c>
      <c r="BQ176" s="255">
        <v>1.35</v>
      </c>
      <c r="BR176" s="261">
        <v>1.41</v>
      </c>
      <c r="BS176" s="362">
        <v>18</v>
      </c>
    </row>
    <row r="177" spans="11:71" ht="12.75">
      <c r="K177" s="75"/>
      <c r="L177" s="40"/>
      <c r="M177" s="50"/>
      <c r="N177" s="63"/>
      <c r="O177" s="44"/>
      <c r="P177" s="44"/>
      <c r="Q177" s="44"/>
      <c r="R177" s="68"/>
      <c r="S177" s="68"/>
      <c r="T177" s="24"/>
      <c r="U177" s="24"/>
      <c r="V177" s="24"/>
      <c r="W177" s="28"/>
      <c r="X177" s="34"/>
      <c r="Y177" s="26"/>
      <c r="Z177" s="26"/>
      <c r="AA177" s="24"/>
      <c r="AB177" s="24"/>
      <c r="AC177" s="24"/>
      <c r="AD177" s="24"/>
      <c r="AE177" s="24"/>
      <c r="AF177" s="26"/>
      <c r="AG177" s="26"/>
      <c r="AH177" s="26"/>
      <c r="AI177" s="327" t="s">
        <v>521</v>
      </c>
      <c r="AJ177" s="328">
        <v>20.2</v>
      </c>
      <c r="AK177" s="330">
        <v>2.38</v>
      </c>
      <c r="AL177" s="328">
        <v>17.2</v>
      </c>
      <c r="AM177" s="330">
        <v>3.82</v>
      </c>
      <c r="AN177" s="330">
        <v>4.42</v>
      </c>
      <c r="AO177" s="331">
        <v>931</v>
      </c>
      <c r="AP177" s="331">
        <v>1180</v>
      </c>
      <c r="AR177" s="54"/>
      <c r="AS177" s="6"/>
      <c r="AT177" s="201"/>
      <c r="AX177" s="39"/>
      <c r="AY177" s="14"/>
      <c r="AZ177" s="15"/>
      <c r="BA177" s="46"/>
      <c r="BB177" s="245">
        <v>2.2</v>
      </c>
      <c r="BC177" s="254">
        <v>0.596</v>
      </c>
      <c r="BD177" s="255">
        <v>0.603</v>
      </c>
      <c r="BE177" s="255">
        <v>0.627</v>
      </c>
      <c r="BF177" s="255">
        <v>0.66</v>
      </c>
      <c r="BG177" s="255">
        <v>0.701</v>
      </c>
      <c r="BH177" s="255">
        <v>0.747</v>
      </c>
      <c r="BI177" s="255">
        <v>0.795</v>
      </c>
      <c r="BJ177" s="255">
        <v>0.841</v>
      </c>
      <c r="BK177" s="255">
        <v>0.887</v>
      </c>
      <c r="BL177" s="255">
        <v>0.932</v>
      </c>
      <c r="BM177" s="255">
        <v>0.975</v>
      </c>
      <c r="BN177" s="255">
        <v>1.06</v>
      </c>
      <c r="BO177" s="255">
        <v>1.13</v>
      </c>
      <c r="BP177" s="255">
        <v>1.2</v>
      </c>
      <c r="BQ177" s="255">
        <v>1.26</v>
      </c>
      <c r="BR177" s="261">
        <v>1.32</v>
      </c>
      <c r="BS177" s="362">
        <v>19</v>
      </c>
    </row>
    <row r="178" spans="11:71" ht="12.75">
      <c r="K178" s="44"/>
      <c r="L178" s="44"/>
      <c r="M178" s="44"/>
      <c r="N178" s="44"/>
      <c r="O178" s="44"/>
      <c r="P178" s="44"/>
      <c r="Q178" s="85"/>
      <c r="R178" s="68"/>
      <c r="S178" s="68"/>
      <c r="T178" s="24"/>
      <c r="U178" s="24"/>
      <c r="V178" s="24"/>
      <c r="W178" s="28"/>
      <c r="X178" s="34"/>
      <c r="Y178" s="26"/>
      <c r="Z178" s="26"/>
      <c r="AA178" s="24"/>
      <c r="AB178" s="24"/>
      <c r="AC178" s="24"/>
      <c r="AD178" s="24"/>
      <c r="AE178" s="24"/>
      <c r="AF178" s="26"/>
      <c r="AG178" s="26"/>
      <c r="AH178" s="26"/>
      <c r="AI178" s="327" t="s">
        <v>522</v>
      </c>
      <c r="AJ178" s="328">
        <v>19.6</v>
      </c>
      <c r="AK178" s="330">
        <v>2.19</v>
      </c>
      <c r="AL178" s="328">
        <v>17</v>
      </c>
      <c r="AM178" s="330">
        <v>3.5</v>
      </c>
      <c r="AN178" s="330">
        <v>4.1</v>
      </c>
      <c r="AO178" s="331">
        <v>838</v>
      </c>
      <c r="AP178" s="331">
        <v>1050</v>
      </c>
      <c r="AR178" s="54"/>
      <c r="AS178" s="6"/>
      <c r="AT178" s="201"/>
      <c r="AU178" s="265" t="e">
        <f>IF(OR(#REF!&gt;$C$10*16,#REF!&gt;#REF!),"Weld is overstressed!","Weld is adequate!")</f>
        <v>#REF!</v>
      </c>
      <c r="AV178" s="138"/>
      <c r="AW178" s="266"/>
      <c r="AX178" s="39"/>
      <c r="AY178" s="14"/>
      <c r="AZ178" s="15"/>
      <c r="BA178" s="46"/>
      <c r="BB178" s="245">
        <v>2.4</v>
      </c>
      <c r="BC178" s="254">
        <v>0.547</v>
      </c>
      <c r="BD178" s="255">
        <v>0.553</v>
      </c>
      <c r="BE178" s="255">
        <v>0.575</v>
      </c>
      <c r="BF178" s="255">
        <v>0.607</v>
      </c>
      <c r="BG178" s="255">
        <v>0.645</v>
      </c>
      <c r="BH178" s="255">
        <v>0.688</v>
      </c>
      <c r="BI178" s="255">
        <v>0.733</v>
      </c>
      <c r="BJ178" s="255">
        <v>0.777</v>
      </c>
      <c r="BK178" s="255">
        <v>0.821</v>
      </c>
      <c r="BL178" s="255">
        <v>0.864</v>
      </c>
      <c r="BM178" s="255">
        <v>0.905</v>
      </c>
      <c r="BN178" s="255">
        <v>0.984</v>
      </c>
      <c r="BO178" s="255">
        <v>1.06</v>
      </c>
      <c r="BP178" s="255">
        <v>1.12</v>
      </c>
      <c r="BQ178" s="255">
        <v>1.18</v>
      </c>
      <c r="BR178" s="261">
        <v>1.24</v>
      </c>
      <c r="BS178" s="362">
        <v>20</v>
      </c>
    </row>
    <row r="179" spans="11:71" ht="12.75">
      <c r="K179" s="50"/>
      <c r="L179" s="44"/>
      <c r="M179" s="44"/>
      <c r="N179" s="44"/>
      <c r="O179" s="44"/>
      <c r="P179" s="85"/>
      <c r="Q179" s="44"/>
      <c r="R179" s="68"/>
      <c r="S179" s="68"/>
      <c r="T179" s="24"/>
      <c r="U179" s="24"/>
      <c r="V179" s="24"/>
      <c r="W179" s="59"/>
      <c r="X179" s="56"/>
      <c r="Y179" s="24"/>
      <c r="Z179" s="60"/>
      <c r="AA179" s="24"/>
      <c r="AB179" s="24"/>
      <c r="AC179" s="24"/>
      <c r="AD179" s="24"/>
      <c r="AE179" s="24"/>
      <c r="AF179" s="26"/>
      <c r="AG179" s="26"/>
      <c r="AH179" s="26"/>
      <c r="AI179" s="327" t="s">
        <v>523</v>
      </c>
      <c r="AJ179" s="328">
        <v>19</v>
      </c>
      <c r="AK179" s="330">
        <v>2.02</v>
      </c>
      <c r="AL179" s="328">
        <v>16.8</v>
      </c>
      <c r="AM179" s="330">
        <v>3.21</v>
      </c>
      <c r="AN179" s="330">
        <v>3.81</v>
      </c>
      <c r="AO179" s="331">
        <v>756</v>
      </c>
      <c r="AP179" s="331">
        <v>936</v>
      </c>
      <c r="AR179" s="19"/>
      <c r="AU179" s="267" t="e">
        <f>IF(#REF!&gt;$C$10*16,"D(req'd) = "&amp;#REF!&amp;" &gt; "&amp;$C$10*16&amp;" (1/16's)","D(req'd) = "&amp;#REF!&amp;" &lt;= "&amp;$C$10*16&amp;" (1/16's)")</f>
        <v>#REF!</v>
      </c>
      <c r="AV179" s="20"/>
      <c r="AW179" s="268"/>
      <c r="AX179" s="39"/>
      <c r="AY179" s="14"/>
      <c r="AZ179" s="15"/>
      <c r="BA179" s="46"/>
      <c r="BB179" s="245">
        <v>2.6</v>
      </c>
      <c r="BC179" s="254">
        <v>0.505</v>
      </c>
      <c r="BD179" s="255">
        <v>0.512</v>
      </c>
      <c r="BE179" s="255">
        <v>0.532</v>
      </c>
      <c r="BF179" s="255">
        <v>0.561</v>
      </c>
      <c r="BG179" s="255">
        <v>0.597</v>
      </c>
      <c r="BH179" s="255">
        <v>0.637</v>
      </c>
      <c r="BI179" s="255">
        <v>0.68</v>
      </c>
      <c r="BJ179" s="255">
        <v>0.723</v>
      </c>
      <c r="BK179" s="255">
        <v>0.764</v>
      </c>
      <c r="BL179" s="255">
        <v>0.805</v>
      </c>
      <c r="BM179" s="255">
        <v>0.845</v>
      </c>
      <c r="BN179" s="255">
        <v>0.921</v>
      </c>
      <c r="BO179" s="255">
        <v>0.991</v>
      </c>
      <c r="BP179" s="255">
        <v>1.05</v>
      </c>
      <c r="BQ179" s="255">
        <v>1.11</v>
      </c>
      <c r="BR179" s="261">
        <v>1.17</v>
      </c>
      <c r="BS179" s="362">
        <v>21</v>
      </c>
    </row>
    <row r="180" spans="11:71" ht="12.75">
      <c r="K180" s="71"/>
      <c r="L180" s="4"/>
      <c r="M180" s="50"/>
      <c r="N180" s="43"/>
      <c r="O180" s="44"/>
      <c r="P180" s="44"/>
      <c r="Q180" s="44"/>
      <c r="R180" s="68"/>
      <c r="S180" s="68"/>
      <c r="T180" s="24"/>
      <c r="U180" s="24"/>
      <c r="V180" s="24"/>
      <c r="W180" s="28"/>
      <c r="X180" s="36"/>
      <c r="Y180" s="26"/>
      <c r="Z180" s="32"/>
      <c r="AA180" s="24"/>
      <c r="AB180" s="24"/>
      <c r="AC180" s="24"/>
      <c r="AD180" s="24"/>
      <c r="AE180" s="24"/>
      <c r="AF180" s="26"/>
      <c r="AG180" s="26"/>
      <c r="AH180" s="26"/>
      <c r="AI180" s="327" t="s">
        <v>524</v>
      </c>
      <c r="AJ180" s="328">
        <v>18.7</v>
      </c>
      <c r="AK180" s="330">
        <v>1.88</v>
      </c>
      <c r="AL180" s="328">
        <v>16.7</v>
      </c>
      <c r="AM180" s="330">
        <v>3.04</v>
      </c>
      <c r="AN180" s="330">
        <v>3.63</v>
      </c>
      <c r="AO180" s="331">
        <v>706</v>
      </c>
      <c r="AP180" s="331">
        <v>869</v>
      </c>
      <c r="AR180" s="19"/>
      <c r="AU180" s="269" t="e">
        <f>IF(#REF!&gt;#REF!,"L(req'd) = "&amp;#REF!&amp;" &gt; "&amp;#REF!&amp;" in.","L(req'd) = "&amp;#REF!&amp;" &lt;= "&amp;#REF!&amp;" in.")</f>
        <v>#REF!</v>
      </c>
      <c r="AV180" s="144"/>
      <c r="AW180" s="270"/>
      <c r="AX180" s="39"/>
      <c r="AY180" s="14"/>
      <c r="AZ180" s="15"/>
      <c r="BA180" s="46"/>
      <c r="BB180" s="245">
        <v>2.8</v>
      </c>
      <c r="BC180" s="254">
        <v>0.469</v>
      </c>
      <c r="BD180" s="255">
        <v>0.476</v>
      </c>
      <c r="BE180" s="255">
        <v>0.495</v>
      </c>
      <c r="BF180" s="255">
        <v>0.523</v>
      </c>
      <c r="BG180" s="255">
        <v>0.556</v>
      </c>
      <c r="BH180" s="255">
        <v>0.595</v>
      </c>
      <c r="BI180" s="255">
        <v>0.635</v>
      </c>
      <c r="BJ180" s="255">
        <v>0.675</v>
      </c>
      <c r="BK180" s="255">
        <v>0.715</v>
      </c>
      <c r="BL180" s="255">
        <v>0.753</v>
      </c>
      <c r="BM180" s="255">
        <v>0.792</v>
      </c>
      <c r="BN180" s="255">
        <v>0.865</v>
      </c>
      <c r="BO180" s="255">
        <v>0.932</v>
      </c>
      <c r="BP180" s="255">
        <v>0.995</v>
      </c>
      <c r="BQ180" s="255">
        <v>1.05</v>
      </c>
      <c r="BR180" s="261">
        <v>1.11</v>
      </c>
      <c r="BS180" s="362">
        <v>22</v>
      </c>
    </row>
    <row r="181" spans="11:71" ht="12.75">
      <c r="K181" s="71"/>
      <c r="L181" s="4"/>
      <c r="M181" s="50"/>
      <c r="N181" s="43"/>
      <c r="O181" s="44"/>
      <c r="P181" s="44"/>
      <c r="Q181" s="44"/>
      <c r="R181" s="68"/>
      <c r="S181" s="68"/>
      <c r="T181" s="24"/>
      <c r="U181" s="24"/>
      <c r="V181" s="24"/>
      <c r="W181" s="24"/>
      <c r="X181" s="24"/>
      <c r="Y181" s="24"/>
      <c r="Z181" s="32"/>
      <c r="AA181" s="24"/>
      <c r="AB181" s="24"/>
      <c r="AC181" s="24"/>
      <c r="AD181" s="24"/>
      <c r="AE181" s="24"/>
      <c r="AF181" s="26"/>
      <c r="AG181" s="26"/>
      <c r="AH181" s="26"/>
      <c r="AI181" s="327" t="s">
        <v>525</v>
      </c>
      <c r="AJ181" s="328">
        <v>18.3</v>
      </c>
      <c r="AK181" s="330">
        <v>1.77</v>
      </c>
      <c r="AL181" s="328">
        <v>16.6</v>
      </c>
      <c r="AM181" s="330">
        <v>2.85</v>
      </c>
      <c r="AN181" s="330">
        <v>3.44</v>
      </c>
      <c r="AO181" s="331">
        <v>656</v>
      </c>
      <c r="AP181" s="331">
        <v>801</v>
      </c>
      <c r="AR181" s="19"/>
      <c r="AS181" s="14"/>
      <c r="AT181" s="14"/>
      <c r="AU181" s="14"/>
      <c r="AV181" s="14"/>
      <c r="AW181" s="14"/>
      <c r="AX181" s="14"/>
      <c r="AY181" s="14"/>
      <c r="AZ181" s="15"/>
      <c r="BA181" s="46"/>
      <c r="BB181" s="271">
        <v>3</v>
      </c>
      <c r="BC181" s="272">
        <v>0.439</v>
      </c>
      <c r="BD181" s="273">
        <v>0.444</v>
      </c>
      <c r="BE181" s="273">
        <v>0.463</v>
      </c>
      <c r="BF181" s="273">
        <v>0.488</v>
      </c>
      <c r="BG181" s="273">
        <v>0.52</v>
      </c>
      <c r="BH181" s="273">
        <v>0.556</v>
      </c>
      <c r="BI181" s="273">
        <v>0.595</v>
      </c>
      <c r="BJ181" s="273">
        <v>0.632</v>
      </c>
      <c r="BK181" s="273">
        <v>0.671</v>
      </c>
      <c r="BL181" s="273">
        <v>0.708</v>
      </c>
      <c r="BM181" s="273">
        <v>0.745</v>
      </c>
      <c r="BN181" s="273">
        <v>0.815</v>
      </c>
      <c r="BO181" s="273">
        <v>0.881</v>
      </c>
      <c r="BP181" s="273">
        <v>0.941</v>
      </c>
      <c r="BQ181" s="273">
        <v>0.997</v>
      </c>
      <c r="BR181" s="274">
        <v>1.05</v>
      </c>
      <c r="BS181" s="362">
        <v>23</v>
      </c>
    </row>
    <row r="182" spans="11:71" ht="12.75">
      <c r="K182" s="43"/>
      <c r="L182" s="44"/>
      <c r="M182" s="39"/>
      <c r="N182" s="43"/>
      <c r="O182" s="39"/>
      <c r="P182" s="39"/>
      <c r="Q182" s="45"/>
      <c r="R182" s="68"/>
      <c r="S182" s="68"/>
      <c r="T182" s="24"/>
      <c r="U182" s="24"/>
      <c r="V182" s="24"/>
      <c r="W182" s="26"/>
      <c r="X182" s="24"/>
      <c r="Y182" s="24"/>
      <c r="Z182" s="26"/>
      <c r="AA182" s="24"/>
      <c r="AB182" s="24"/>
      <c r="AC182" s="24"/>
      <c r="AD182" s="24"/>
      <c r="AE182" s="24"/>
      <c r="AF182" s="26"/>
      <c r="AG182" s="26"/>
      <c r="AH182" s="26"/>
      <c r="AI182" s="327" t="s">
        <v>526</v>
      </c>
      <c r="AJ182" s="328">
        <v>17.9</v>
      </c>
      <c r="AK182" s="330">
        <v>1.66</v>
      </c>
      <c r="AL182" s="328">
        <v>16.5</v>
      </c>
      <c r="AM182" s="330">
        <v>2.66</v>
      </c>
      <c r="AN182" s="330">
        <v>3.26</v>
      </c>
      <c r="AO182" s="331">
        <v>607</v>
      </c>
      <c r="AP182" s="331">
        <v>736</v>
      </c>
      <c r="AR182" s="19"/>
      <c r="AS182" s="14"/>
      <c r="AT182" s="14"/>
      <c r="AX182" s="14"/>
      <c r="AY182" s="14"/>
      <c r="AZ182" s="15"/>
      <c r="BA182" s="46"/>
      <c r="BB182" s="363" t="s">
        <v>297</v>
      </c>
      <c r="BC182" s="363">
        <v>1</v>
      </c>
      <c r="BD182" s="363">
        <v>2</v>
      </c>
      <c r="BE182" s="363">
        <v>3</v>
      </c>
      <c r="BF182" s="363">
        <v>4</v>
      </c>
      <c r="BG182" s="363">
        <v>5</v>
      </c>
      <c r="BH182" s="363">
        <v>6</v>
      </c>
      <c r="BI182" s="363">
        <v>7</v>
      </c>
      <c r="BJ182" s="363">
        <v>8</v>
      </c>
      <c r="BK182" s="363">
        <v>9</v>
      </c>
      <c r="BL182" s="363">
        <v>10</v>
      </c>
      <c r="BM182" s="363">
        <v>11</v>
      </c>
      <c r="BN182" s="363">
        <v>12</v>
      </c>
      <c r="BO182" s="363">
        <v>13</v>
      </c>
      <c r="BP182" s="363">
        <v>14</v>
      </c>
      <c r="BQ182" s="363">
        <v>15</v>
      </c>
      <c r="BR182" s="363">
        <v>16</v>
      </c>
      <c r="BS182" s="275"/>
    </row>
    <row r="183" spans="11:59" ht="12.75">
      <c r="K183" s="47"/>
      <c r="L183" s="67"/>
      <c r="M183" s="43"/>
      <c r="N183" s="43"/>
      <c r="O183" s="39"/>
      <c r="P183" s="39"/>
      <c r="Q183" s="39"/>
      <c r="R183" s="68"/>
      <c r="S183" s="68"/>
      <c r="T183" s="24"/>
      <c r="U183" s="24"/>
      <c r="V183" s="24"/>
      <c r="W183" s="28"/>
      <c r="X183" s="34"/>
      <c r="Y183" s="26"/>
      <c r="Z183" s="26"/>
      <c r="AA183" s="24"/>
      <c r="AB183" s="24"/>
      <c r="AC183" s="24"/>
      <c r="AD183" s="24"/>
      <c r="AE183" s="24"/>
      <c r="AF183" s="26"/>
      <c r="AG183" s="26"/>
      <c r="AH183" s="26"/>
      <c r="AI183" s="327" t="s">
        <v>527</v>
      </c>
      <c r="AJ183" s="328">
        <v>17.5</v>
      </c>
      <c r="AK183" s="330">
        <v>1.54</v>
      </c>
      <c r="AL183" s="328">
        <v>16.4</v>
      </c>
      <c r="AM183" s="330">
        <v>2.47</v>
      </c>
      <c r="AN183" s="330">
        <v>3.07</v>
      </c>
      <c r="AO183" s="331">
        <v>558</v>
      </c>
      <c r="AP183" s="331">
        <v>672</v>
      </c>
      <c r="AR183" s="19"/>
      <c r="AS183" s="14"/>
      <c r="AT183" s="14"/>
      <c r="AX183" s="14"/>
      <c r="AY183" s="14"/>
      <c r="AZ183" s="15"/>
      <c r="BA183" s="46"/>
      <c r="BB183" s="46"/>
      <c r="BC183" s="46"/>
      <c r="BD183" s="64"/>
      <c r="BE183" s="64"/>
      <c r="BF183" s="37"/>
      <c r="BG183" s="64"/>
    </row>
    <row r="184" spans="11:59" ht="12.75">
      <c r="K184" s="47"/>
      <c r="L184" s="67"/>
      <c r="M184" s="43"/>
      <c r="N184" s="43"/>
      <c r="O184" s="39"/>
      <c r="P184" s="39"/>
      <c r="Q184" s="39"/>
      <c r="R184" s="68"/>
      <c r="S184" s="68"/>
      <c r="T184" s="24"/>
      <c r="U184" s="24"/>
      <c r="V184" s="24"/>
      <c r="W184" s="28"/>
      <c r="X184" s="36"/>
      <c r="Y184" s="26"/>
      <c r="Z184" s="26"/>
      <c r="AA184" s="24"/>
      <c r="AB184" s="24"/>
      <c r="AC184" s="24"/>
      <c r="AD184" s="24"/>
      <c r="AE184" s="24"/>
      <c r="AF184" s="26"/>
      <c r="AG184" s="26"/>
      <c r="AH184" s="26"/>
      <c r="AI184" s="327" t="s">
        <v>528</v>
      </c>
      <c r="AJ184" s="328">
        <v>17.1</v>
      </c>
      <c r="AK184" s="330">
        <v>1.41</v>
      </c>
      <c r="AL184" s="328">
        <v>16.2</v>
      </c>
      <c r="AM184" s="330">
        <v>2.26</v>
      </c>
      <c r="AN184" s="330">
        <v>2.86</v>
      </c>
      <c r="AO184" s="331">
        <v>506</v>
      </c>
      <c r="AP184" s="331">
        <v>603</v>
      </c>
      <c r="AR184" s="19"/>
      <c r="AS184" s="14"/>
      <c r="AT184" s="14"/>
      <c r="AX184" s="14"/>
      <c r="AY184" s="14"/>
      <c r="AZ184" s="15"/>
      <c r="BA184" s="46"/>
      <c r="BB184" s="46"/>
      <c r="BC184" s="46"/>
      <c r="BD184" s="64"/>
      <c r="BE184" s="64"/>
      <c r="BF184" s="37"/>
      <c r="BG184" s="64"/>
    </row>
    <row r="185" spans="11:59" ht="12.75">
      <c r="K185" s="39"/>
      <c r="L185" s="44"/>
      <c r="M185" s="39"/>
      <c r="N185" s="39"/>
      <c r="O185" s="39"/>
      <c r="P185" s="39"/>
      <c r="Q185" s="44"/>
      <c r="R185" s="68"/>
      <c r="S185" s="68"/>
      <c r="T185" s="24"/>
      <c r="U185" s="24"/>
      <c r="V185" s="24"/>
      <c r="W185" s="28"/>
      <c r="X185" s="36"/>
      <c r="Y185" s="26"/>
      <c r="Z185" s="26"/>
      <c r="AA185" s="24"/>
      <c r="AB185" s="24"/>
      <c r="AC185" s="24"/>
      <c r="AD185" s="24"/>
      <c r="AE185" s="24"/>
      <c r="AF185" s="26"/>
      <c r="AG185" s="26"/>
      <c r="AH185" s="26"/>
      <c r="AI185" s="327" t="s">
        <v>529</v>
      </c>
      <c r="AJ185" s="328">
        <v>16.7</v>
      </c>
      <c r="AK185" s="330">
        <v>1.29</v>
      </c>
      <c r="AL185" s="328">
        <v>16.1</v>
      </c>
      <c r="AM185" s="330">
        <v>2.07</v>
      </c>
      <c r="AN185" s="330">
        <v>2.67</v>
      </c>
      <c r="AO185" s="331">
        <v>459</v>
      </c>
      <c r="AP185" s="331">
        <v>542</v>
      </c>
      <c r="AR185" s="276"/>
      <c r="AS185" s="277"/>
      <c r="AT185" s="277"/>
      <c r="AU185" s="277"/>
      <c r="AV185" s="277"/>
      <c r="AW185" s="277"/>
      <c r="AX185" s="277"/>
      <c r="AY185" s="277"/>
      <c r="AZ185" s="278"/>
      <c r="BA185" s="46"/>
      <c r="BB185" s="46"/>
      <c r="BC185" s="46"/>
      <c r="BD185" s="64"/>
      <c r="BE185" s="64"/>
      <c r="BF185" s="37"/>
      <c r="BG185" s="64"/>
    </row>
    <row r="186" spans="11:42" ht="12.75">
      <c r="K186" s="74"/>
      <c r="L186" s="7"/>
      <c r="M186" s="43"/>
      <c r="N186" s="44"/>
      <c r="O186" s="44"/>
      <c r="P186" s="44"/>
      <c r="Q186" s="44"/>
      <c r="R186" s="68"/>
      <c r="S186" s="68"/>
      <c r="T186" s="24"/>
      <c r="U186" s="24"/>
      <c r="V186" s="24"/>
      <c r="W186" s="28"/>
      <c r="X186" s="36"/>
      <c r="Y186" s="26"/>
      <c r="Z186" s="33"/>
      <c r="AA186" s="24"/>
      <c r="AB186" s="24"/>
      <c r="AC186" s="24"/>
      <c r="AD186" s="24"/>
      <c r="AE186" s="24"/>
      <c r="AF186" s="26"/>
      <c r="AG186" s="26"/>
      <c r="AH186" s="26"/>
      <c r="AI186" s="327" t="s">
        <v>530</v>
      </c>
      <c r="AJ186" s="328">
        <v>16.4</v>
      </c>
      <c r="AK186" s="330">
        <v>1.18</v>
      </c>
      <c r="AL186" s="328">
        <v>16</v>
      </c>
      <c r="AM186" s="330">
        <v>1.89</v>
      </c>
      <c r="AN186" s="330">
        <v>2.49</v>
      </c>
      <c r="AO186" s="331">
        <v>415</v>
      </c>
      <c r="AP186" s="331">
        <v>487</v>
      </c>
    </row>
    <row r="187" spans="11:42" ht="12.75">
      <c r="K187" s="44"/>
      <c r="L187" s="44"/>
      <c r="M187" s="44"/>
      <c r="N187" s="44"/>
      <c r="O187" s="44"/>
      <c r="P187" s="44"/>
      <c r="Q187" s="44"/>
      <c r="R187" s="68"/>
      <c r="S187" s="68"/>
      <c r="T187" s="24"/>
      <c r="U187" s="24"/>
      <c r="V187" s="24"/>
      <c r="W187" s="26"/>
      <c r="X187" s="24"/>
      <c r="Y187" s="24"/>
      <c r="Z187" s="26"/>
      <c r="AA187" s="24"/>
      <c r="AB187" s="24"/>
      <c r="AC187" s="24"/>
      <c r="AD187" s="24"/>
      <c r="AE187" s="24"/>
      <c r="AF187" s="26"/>
      <c r="AG187" s="26"/>
      <c r="AH187" s="26"/>
      <c r="AI187" s="327" t="s">
        <v>531</v>
      </c>
      <c r="AJ187" s="328">
        <v>16</v>
      </c>
      <c r="AK187" s="330">
        <v>1.07</v>
      </c>
      <c r="AL187" s="328">
        <v>15.9</v>
      </c>
      <c r="AM187" s="330">
        <v>1.72</v>
      </c>
      <c r="AN187" s="330">
        <v>2.32</v>
      </c>
      <c r="AO187" s="331">
        <v>375</v>
      </c>
      <c r="AP187" s="331">
        <v>436</v>
      </c>
    </row>
    <row r="188" spans="11:42" ht="12.75">
      <c r="K188" s="89"/>
      <c r="L188" s="4"/>
      <c r="M188" s="82"/>
      <c r="N188" s="43"/>
      <c r="O188" s="44"/>
      <c r="P188" s="44"/>
      <c r="Q188" s="44"/>
      <c r="R188" s="68"/>
      <c r="S188" s="68"/>
      <c r="T188" s="24"/>
      <c r="U188" s="24"/>
      <c r="V188" s="24"/>
      <c r="W188" s="28"/>
      <c r="X188" s="34"/>
      <c r="Y188" s="26"/>
      <c r="Z188" s="26"/>
      <c r="AA188" s="24"/>
      <c r="AB188" s="24"/>
      <c r="AC188" s="24"/>
      <c r="AD188" s="24"/>
      <c r="AE188" s="24"/>
      <c r="AF188" s="26"/>
      <c r="AG188" s="26"/>
      <c r="AH188" s="26"/>
      <c r="AI188" s="327" t="s">
        <v>532</v>
      </c>
      <c r="AJ188" s="328">
        <v>15.7</v>
      </c>
      <c r="AK188" s="329">
        <v>0.98</v>
      </c>
      <c r="AL188" s="328">
        <v>15.8</v>
      </c>
      <c r="AM188" s="330">
        <v>1.56</v>
      </c>
      <c r="AN188" s="330">
        <v>2.16</v>
      </c>
      <c r="AO188" s="331">
        <v>338</v>
      </c>
      <c r="AP188" s="331">
        <v>390</v>
      </c>
    </row>
    <row r="189" spans="11:42" ht="12.75">
      <c r="K189" s="89"/>
      <c r="L189" s="4"/>
      <c r="M189" s="43"/>
      <c r="N189" s="43"/>
      <c r="O189" s="44"/>
      <c r="P189" s="44"/>
      <c r="Q189" s="44"/>
      <c r="R189" s="68"/>
      <c r="S189" s="68"/>
      <c r="T189" s="24"/>
      <c r="U189" s="24"/>
      <c r="V189" s="24"/>
      <c r="W189" s="28"/>
      <c r="X189" s="36"/>
      <c r="Y189" s="26"/>
      <c r="Z189" s="26"/>
      <c r="AA189" s="24"/>
      <c r="AB189" s="24"/>
      <c r="AC189" s="24"/>
      <c r="AD189" s="24"/>
      <c r="AE189" s="24"/>
      <c r="AF189" s="26"/>
      <c r="AG189" s="26"/>
      <c r="AH189" s="26"/>
      <c r="AI189" s="327" t="s">
        <v>533</v>
      </c>
      <c r="AJ189" s="328">
        <v>15.5</v>
      </c>
      <c r="AK189" s="329">
        <v>0.89</v>
      </c>
      <c r="AL189" s="328">
        <v>15.7</v>
      </c>
      <c r="AM189" s="330">
        <v>1.44</v>
      </c>
      <c r="AN189" s="330">
        <v>2.04</v>
      </c>
      <c r="AO189" s="331">
        <v>310</v>
      </c>
      <c r="AP189" s="331">
        <v>355</v>
      </c>
    </row>
    <row r="190" spans="11:42" ht="12.75">
      <c r="K190" s="43"/>
      <c r="L190" s="44"/>
      <c r="M190" s="44"/>
      <c r="N190" s="44"/>
      <c r="O190" s="44"/>
      <c r="P190" s="44"/>
      <c r="Q190" s="44"/>
      <c r="R190" s="68"/>
      <c r="S190" s="68"/>
      <c r="T190" s="24"/>
      <c r="U190" s="24"/>
      <c r="V190" s="24"/>
      <c r="W190" s="28"/>
      <c r="X190" s="36"/>
      <c r="Y190" s="26"/>
      <c r="Z190" s="26"/>
      <c r="AA190" s="24"/>
      <c r="AB190" s="24"/>
      <c r="AC190" s="24"/>
      <c r="AD190" s="24"/>
      <c r="AE190" s="24"/>
      <c r="AF190" s="26"/>
      <c r="AG190" s="26"/>
      <c r="AH190" s="26"/>
      <c r="AI190" s="327" t="s">
        <v>534</v>
      </c>
      <c r="AJ190" s="328">
        <v>15.2</v>
      </c>
      <c r="AK190" s="329">
        <v>0.83</v>
      </c>
      <c r="AL190" s="328">
        <v>15.7</v>
      </c>
      <c r="AM190" s="330">
        <v>1.31</v>
      </c>
      <c r="AN190" s="330">
        <v>1.91</v>
      </c>
      <c r="AO190" s="331">
        <v>281</v>
      </c>
      <c r="AP190" s="331">
        <v>320</v>
      </c>
    </row>
    <row r="191" spans="11:42" ht="12.75">
      <c r="K191" s="71"/>
      <c r="L191" s="9"/>
      <c r="M191" s="50"/>
      <c r="N191" s="44"/>
      <c r="O191" s="44"/>
      <c r="P191" s="44"/>
      <c r="Q191" s="44"/>
      <c r="R191" s="68"/>
      <c r="S191" s="68"/>
      <c r="T191" s="24"/>
      <c r="U191" s="24"/>
      <c r="V191" s="24"/>
      <c r="W191" s="28"/>
      <c r="X191" s="36"/>
      <c r="Y191" s="26"/>
      <c r="Z191" s="26"/>
      <c r="AA191" s="24"/>
      <c r="AB191" s="24"/>
      <c r="AC191" s="24"/>
      <c r="AD191" s="24"/>
      <c r="AE191" s="24"/>
      <c r="AF191" s="26"/>
      <c r="AG191" s="26"/>
      <c r="AH191" s="26"/>
      <c r="AI191" s="327" t="s">
        <v>535</v>
      </c>
      <c r="AJ191" s="328">
        <v>15</v>
      </c>
      <c r="AK191" s="329">
        <v>0.745</v>
      </c>
      <c r="AL191" s="328">
        <v>15.6</v>
      </c>
      <c r="AM191" s="330">
        <v>1.19</v>
      </c>
      <c r="AN191" s="330">
        <v>1.79</v>
      </c>
      <c r="AO191" s="331">
        <v>254</v>
      </c>
      <c r="AP191" s="331">
        <v>287</v>
      </c>
    </row>
    <row r="192" spans="11:42" ht="12.75">
      <c r="K192" s="71"/>
      <c r="L192" s="4"/>
      <c r="M192" s="50"/>
      <c r="N192" s="50"/>
      <c r="O192" s="44"/>
      <c r="P192" s="44"/>
      <c r="Q192" s="44"/>
      <c r="R192" s="68"/>
      <c r="S192" s="68"/>
      <c r="T192" s="24"/>
      <c r="U192" s="24"/>
      <c r="V192" s="24"/>
      <c r="W192" s="26"/>
      <c r="X192" s="24"/>
      <c r="Y192" s="24"/>
      <c r="Z192" s="81"/>
      <c r="AA192" s="24"/>
      <c r="AB192" s="24"/>
      <c r="AC192" s="24"/>
      <c r="AD192" s="24"/>
      <c r="AE192" s="24"/>
      <c r="AF192" s="26"/>
      <c r="AG192" s="26"/>
      <c r="AH192" s="26"/>
      <c r="AI192" s="327" t="s">
        <v>536</v>
      </c>
      <c r="AJ192" s="328">
        <v>14.8</v>
      </c>
      <c r="AK192" s="329">
        <v>0.68</v>
      </c>
      <c r="AL192" s="328">
        <v>15.5</v>
      </c>
      <c r="AM192" s="330">
        <v>1.09</v>
      </c>
      <c r="AN192" s="330">
        <v>1.69</v>
      </c>
      <c r="AO192" s="331">
        <v>232</v>
      </c>
      <c r="AP192" s="331">
        <v>260</v>
      </c>
    </row>
    <row r="193" spans="11:42" ht="12.75">
      <c r="K193" s="47"/>
      <c r="L193" s="67"/>
      <c r="M193" s="43"/>
      <c r="N193" s="50"/>
      <c r="O193" s="44"/>
      <c r="P193" s="44"/>
      <c r="Q193" s="44"/>
      <c r="R193" s="68"/>
      <c r="S193" s="68"/>
      <c r="T193" s="24"/>
      <c r="U193" s="24"/>
      <c r="V193" s="24"/>
      <c r="W193" s="28"/>
      <c r="X193" s="36"/>
      <c r="Y193" s="26"/>
      <c r="Z193" s="26"/>
      <c r="AA193" s="24"/>
      <c r="AB193" s="24"/>
      <c r="AC193" s="24"/>
      <c r="AD193" s="24"/>
      <c r="AE193" s="24"/>
      <c r="AF193" s="26"/>
      <c r="AG193" s="26"/>
      <c r="AH193" s="26"/>
      <c r="AI193" s="327" t="s">
        <v>537</v>
      </c>
      <c r="AJ193" s="328">
        <v>14.7</v>
      </c>
      <c r="AK193" s="329">
        <v>0.645</v>
      </c>
      <c r="AL193" s="328">
        <v>14.7</v>
      </c>
      <c r="AM193" s="330">
        <v>1.03</v>
      </c>
      <c r="AN193" s="330">
        <v>1.63</v>
      </c>
      <c r="AO193" s="331">
        <v>209</v>
      </c>
      <c r="AP193" s="331">
        <v>234</v>
      </c>
    </row>
    <row r="194" spans="11:42" ht="12.75">
      <c r="K194" s="71"/>
      <c r="L194" s="4"/>
      <c r="M194" s="43"/>
      <c r="N194" s="50"/>
      <c r="O194" s="44"/>
      <c r="P194" s="44"/>
      <c r="Q194" s="44"/>
      <c r="R194" s="68"/>
      <c r="S194" s="68"/>
      <c r="T194" s="24"/>
      <c r="U194" s="24"/>
      <c r="V194" s="24"/>
      <c r="W194" s="28"/>
      <c r="X194" s="36"/>
      <c r="Y194" s="26"/>
      <c r="Z194" s="26"/>
      <c r="AA194" s="24"/>
      <c r="AB194" s="24"/>
      <c r="AC194" s="24"/>
      <c r="AD194" s="24"/>
      <c r="AE194" s="24"/>
      <c r="AF194" s="26"/>
      <c r="AG194" s="26"/>
      <c r="AH194" s="26"/>
      <c r="AI194" s="327" t="s">
        <v>538</v>
      </c>
      <c r="AJ194" s="328">
        <v>14.5</v>
      </c>
      <c r="AK194" s="329">
        <v>0.59</v>
      </c>
      <c r="AL194" s="328">
        <v>14.7</v>
      </c>
      <c r="AM194" s="329">
        <v>0.94</v>
      </c>
      <c r="AN194" s="330">
        <v>1.54</v>
      </c>
      <c r="AO194" s="331">
        <v>190</v>
      </c>
      <c r="AP194" s="331">
        <v>212</v>
      </c>
    </row>
    <row r="195" spans="11:42" ht="12.75">
      <c r="K195" s="71"/>
      <c r="L195" s="4"/>
      <c r="M195" s="50"/>
      <c r="N195" s="43"/>
      <c r="O195" s="44"/>
      <c r="P195" s="44"/>
      <c r="Q195" s="44"/>
      <c r="R195" s="68"/>
      <c r="S195" s="68"/>
      <c r="T195" s="24"/>
      <c r="U195" s="24"/>
      <c r="V195" s="24"/>
      <c r="W195" s="28"/>
      <c r="X195" s="36"/>
      <c r="Y195" s="26"/>
      <c r="Z195" s="26"/>
      <c r="AA195" s="24"/>
      <c r="AB195" s="24"/>
      <c r="AC195" s="24"/>
      <c r="AD195" s="24"/>
      <c r="AE195" s="24"/>
      <c r="AF195" s="26"/>
      <c r="AG195" s="26"/>
      <c r="AH195" s="26"/>
      <c r="AI195" s="327" t="s">
        <v>539</v>
      </c>
      <c r="AJ195" s="328">
        <v>14.3</v>
      </c>
      <c r="AK195" s="329">
        <v>0.525</v>
      </c>
      <c r="AL195" s="328">
        <v>14.6</v>
      </c>
      <c r="AM195" s="329">
        <v>0.86</v>
      </c>
      <c r="AN195" s="330">
        <v>1.46</v>
      </c>
      <c r="AO195" s="331">
        <v>173</v>
      </c>
      <c r="AP195" s="331">
        <v>192</v>
      </c>
    </row>
    <row r="196" spans="11:42" ht="12.75">
      <c r="K196" s="71"/>
      <c r="L196" s="4"/>
      <c r="M196" s="43"/>
      <c r="N196" s="43"/>
      <c r="O196" s="44"/>
      <c r="P196" s="44"/>
      <c r="Q196" s="44"/>
      <c r="R196" s="68"/>
      <c r="S196" s="68"/>
      <c r="T196" s="24"/>
      <c r="U196" s="24"/>
      <c r="V196" s="24"/>
      <c r="W196" s="28"/>
      <c r="X196" s="36"/>
      <c r="Y196" s="26"/>
      <c r="Z196" s="26"/>
      <c r="AA196" s="24"/>
      <c r="AB196" s="24"/>
      <c r="AC196" s="24"/>
      <c r="AD196" s="24"/>
      <c r="AE196" s="24"/>
      <c r="AF196" s="26"/>
      <c r="AG196" s="26"/>
      <c r="AH196" s="26"/>
      <c r="AI196" s="327" t="s">
        <v>540</v>
      </c>
      <c r="AJ196" s="328">
        <v>14.2</v>
      </c>
      <c r="AK196" s="329">
        <v>0.485</v>
      </c>
      <c r="AL196" s="328">
        <v>14.6</v>
      </c>
      <c r="AM196" s="329">
        <v>0.78</v>
      </c>
      <c r="AN196" s="330">
        <v>1.38</v>
      </c>
      <c r="AO196" s="331">
        <v>157</v>
      </c>
      <c r="AP196" s="331">
        <v>173</v>
      </c>
    </row>
    <row r="197" spans="11:42" ht="12.75">
      <c r="K197" s="71"/>
      <c r="L197" s="4"/>
      <c r="M197" s="50"/>
      <c r="N197" s="50"/>
      <c r="O197" s="44"/>
      <c r="P197" s="44"/>
      <c r="Q197" s="44"/>
      <c r="R197" s="68"/>
      <c r="S197" s="68"/>
      <c r="T197" s="24"/>
      <c r="U197" s="24"/>
      <c r="V197" s="24"/>
      <c r="W197" s="26"/>
      <c r="X197" s="24"/>
      <c r="Y197" s="24"/>
      <c r="Z197" s="26"/>
      <c r="AA197" s="24"/>
      <c r="AB197" s="24"/>
      <c r="AC197" s="24"/>
      <c r="AD197" s="24"/>
      <c r="AE197" s="24"/>
      <c r="AF197" s="26"/>
      <c r="AG197" s="26"/>
      <c r="AH197" s="26"/>
      <c r="AI197" s="327" t="s">
        <v>541</v>
      </c>
      <c r="AJ197" s="328">
        <v>14</v>
      </c>
      <c r="AK197" s="329">
        <v>0.44</v>
      </c>
      <c r="AL197" s="328">
        <v>14.5</v>
      </c>
      <c r="AM197" s="329">
        <v>0.71</v>
      </c>
      <c r="AN197" s="330">
        <v>1.31</v>
      </c>
      <c r="AO197" s="331">
        <v>143</v>
      </c>
      <c r="AP197" s="331">
        <v>157</v>
      </c>
    </row>
    <row r="198" spans="11:42" ht="12.75">
      <c r="K198" s="71"/>
      <c r="L198" s="4"/>
      <c r="M198" s="50"/>
      <c r="N198" s="68"/>
      <c r="O198" s="44"/>
      <c r="P198" s="44"/>
      <c r="Q198" s="44"/>
      <c r="R198" s="68"/>
      <c r="S198" s="68"/>
      <c r="T198" s="24"/>
      <c r="U198" s="24"/>
      <c r="V198" s="24"/>
      <c r="W198" s="28"/>
      <c r="X198" s="36"/>
      <c r="Y198" s="26"/>
      <c r="Z198" s="26"/>
      <c r="AA198" s="24"/>
      <c r="AB198" s="24"/>
      <c r="AC198" s="24"/>
      <c r="AD198" s="24"/>
      <c r="AE198" s="24"/>
      <c r="AF198" s="26"/>
      <c r="AG198" s="26"/>
      <c r="AH198" s="26"/>
      <c r="AI198" s="327" t="s">
        <v>542</v>
      </c>
      <c r="AJ198" s="328">
        <v>14.3</v>
      </c>
      <c r="AK198" s="329">
        <v>0.51</v>
      </c>
      <c r="AL198" s="328">
        <v>10.1</v>
      </c>
      <c r="AM198" s="329">
        <v>0.855</v>
      </c>
      <c r="AN198" s="330">
        <v>1.45</v>
      </c>
      <c r="AO198" s="331">
        <v>123</v>
      </c>
      <c r="AP198" s="331">
        <v>139</v>
      </c>
    </row>
    <row r="199" spans="11:42" ht="12.75">
      <c r="K199" s="47"/>
      <c r="L199" s="4"/>
      <c r="M199" s="43"/>
      <c r="N199" s="43"/>
      <c r="O199" s="44"/>
      <c r="P199" s="44"/>
      <c r="Q199" s="44"/>
      <c r="R199" s="68"/>
      <c r="S199" s="68"/>
      <c r="T199" s="24"/>
      <c r="U199" s="24"/>
      <c r="V199" s="24"/>
      <c r="W199" s="28"/>
      <c r="X199" s="36"/>
      <c r="Y199" s="26"/>
      <c r="Z199" s="26"/>
      <c r="AA199" s="24"/>
      <c r="AB199" s="24"/>
      <c r="AC199" s="24"/>
      <c r="AD199" s="24"/>
      <c r="AE199" s="24"/>
      <c r="AF199" s="26"/>
      <c r="AG199" s="26"/>
      <c r="AH199" s="26"/>
      <c r="AI199" s="327" t="s">
        <v>543</v>
      </c>
      <c r="AJ199" s="328">
        <v>14.2</v>
      </c>
      <c r="AK199" s="329">
        <v>0.45</v>
      </c>
      <c r="AL199" s="328">
        <v>10.1</v>
      </c>
      <c r="AM199" s="329">
        <v>0.785</v>
      </c>
      <c r="AN199" s="330">
        <v>1.38</v>
      </c>
      <c r="AO199" s="331">
        <v>112</v>
      </c>
      <c r="AP199" s="331">
        <v>126</v>
      </c>
    </row>
    <row r="200" spans="11:42" ht="12.75">
      <c r="K200" s="44"/>
      <c r="L200" s="44"/>
      <c r="M200" s="44"/>
      <c r="N200" s="44"/>
      <c r="O200" s="44"/>
      <c r="P200" s="44"/>
      <c r="Q200" s="44"/>
      <c r="R200" s="44"/>
      <c r="S200" s="7"/>
      <c r="T200" s="24"/>
      <c r="U200" s="24"/>
      <c r="V200" s="24"/>
      <c r="W200" s="24"/>
      <c r="X200" s="24"/>
      <c r="Y200" s="24"/>
      <c r="Z200" s="26"/>
      <c r="AA200" s="24"/>
      <c r="AB200" s="24"/>
      <c r="AC200" s="24"/>
      <c r="AD200" s="24"/>
      <c r="AE200" s="24"/>
      <c r="AF200" s="26"/>
      <c r="AG200" s="26"/>
      <c r="AH200" s="26"/>
      <c r="AI200" s="327" t="s">
        <v>544</v>
      </c>
      <c r="AJ200" s="328">
        <v>14</v>
      </c>
      <c r="AK200" s="329">
        <v>0.415</v>
      </c>
      <c r="AL200" s="328">
        <v>10</v>
      </c>
      <c r="AM200" s="329">
        <v>0.72</v>
      </c>
      <c r="AN200" s="330">
        <v>1.31</v>
      </c>
      <c r="AO200" s="331">
        <v>103</v>
      </c>
      <c r="AP200" s="331">
        <v>115</v>
      </c>
    </row>
    <row r="201" spans="11:42" ht="12.75">
      <c r="K201" s="53"/>
      <c r="L201" s="53"/>
      <c r="M201" s="53"/>
      <c r="N201" s="53"/>
      <c r="O201" s="53"/>
      <c r="P201" s="53"/>
      <c r="Q201" s="53"/>
      <c r="R201" s="53"/>
      <c r="S201" s="114"/>
      <c r="T201" s="24"/>
      <c r="U201" s="24"/>
      <c r="V201" s="24"/>
      <c r="W201" s="28"/>
      <c r="X201" s="36"/>
      <c r="Y201" s="26"/>
      <c r="Z201" s="26"/>
      <c r="AA201" s="24"/>
      <c r="AB201" s="24"/>
      <c r="AC201" s="24"/>
      <c r="AD201" s="24"/>
      <c r="AE201" s="24"/>
      <c r="AF201" s="26"/>
      <c r="AG201" s="26"/>
      <c r="AH201" s="26"/>
      <c r="AI201" s="327" t="s">
        <v>545</v>
      </c>
      <c r="AJ201" s="328">
        <v>13.9</v>
      </c>
      <c r="AK201" s="329">
        <v>0.375</v>
      </c>
      <c r="AL201" s="328">
        <v>10</v>
      </c>
      <c r="AM201" s="329">
        <v>0.645</v>
      </c>
      <c r="AN201" s="330">
        <v>1.24</v>
      </c>
      <c r="AO201" s="328">
        <v>92.1</v>
      </c>
      <c r="AP201" s="331">
        <v>102</v>
      </c>
    </row>
    <row r="202" spans="11:42" ht="12.75">
      <c r="K202" s="115"/>
      <c r="L202" s="53"/>
      <c r="M202" s="53"/>
      <c r="N202" s="53"/>
      <c r="O202" s="53"/>
      <c r="P202" s="53"/>
      <c r="Q202" s="53"/>
      <c r="R202" s="53"/>
      <c r="S202" s="116"/>
      <c r="T202" s="24"/>
      <c r="U202" s="24"/>
      <c r="V202" s="24"/>
      <c r="W202" s="28"/>
      <c r="X202" s="34"/>
      <c r="Y202" s="26"/>
      <c r="Z202" s="26"/>
      <c r="AA202" s="24"/>
      <c r="AB202" s="24"/>
      <c r="AC202" s="24"/>
      <c r="AD202" s="24"/>
      <c r="AE202" s="24"/>
      <c r="AF202" s="26"/>
      <c r="AG202" s="26"/>
      <c r="AH202" s="26"/>
      <c r="AI202" s="327" t="s">
        <v>546</v>
      </c>
      <c r="AJ202" s="328">
        <v>13.9</v>
      </c>
      <c r="AK202" s="329">
        <v>0.37</v>
      </c>
      <c r="AL202" s="330">
        <v>8.06</v>
      </c>
      <c r="AM202" s="329">
        <v>0.66</v>
      </c>
      <c r="AN202" s="330">
        <v>1.25</v>
      </c>
      <c r="AO202" s="328">
        <v>77.8</v>
      </c>
      <c r="AP202" s="328">
        <v>87.1</v>
      </c>
    </row>
    <row r="203" spans="11:42" ht="12.75">
      <c r="K203" s="53"/>
      <c r="L203" s="53"/>
      <c r="M203" s="53"/>
      <c r="N203" s="53"/>
      <c r="O203" s="53"/>
      <c r="P203" s="53"/>
      <c r="Q203" s="53"/>
      <c r="R203" s="117"/>
      <c r="S203" s="68"/>
      <c r="T203" s="24"/>
      <c r="U203" s="24"/>
      <c r="V203" s="24"/>
      <c r="W203" s="59"/>
      <c r="X203" s="37"/>
      <c r="Y203" s="26"/>
      <c r="Z203" s="60"/>
      <c r="AA203" s="24"/>
      <c r="AB203" s="24"/>
      <c r="AC203" s="24"/>
      <c r="AD203" s="24"/>
      <c r="AE203" s="24"/>
      <c r="AF203" s="26"/>
      <c r="AG203" s="26"/>
      <c r="AH203" s="26"/>
      <c r="AI203" s="327" t="s">
        <v>547</v>
      </c>
      <c r="AJ203" s="328">
        <v>13.8</v>
      </c>
      <c r="AK203" s="329">
        <v>0.34</v>
      </c>
      <c r="AL203" s="330">
        <v>8.03</v>
      </c>
      <c r="AM203" s="329">
        <v>0.595</v>
      </c>
      <c r="AN203" s="330">
        <v>1.19</v>
      </c>
      <c r="AO203" s="328">
        <v>70.2</v>
      </c>
      <c r="AP203" s="328">
        <v>78.4</v>
      </c>
    </row>
    <row r="204" spans="11:42" ht="12.75">
      <c r="K204" s="68"/>
      <c r="L204" s="118"/>
      <c r="M204" s="53"/>
      <c r="N204" s="53"/>
      <c r="O204" s="53"/>
      <c r="P204" s="53"/>
      <c r="Q204" s="53"/>
      <c r="R204" s="53"/>
      <c r="S204" s="68"/>
      <c r="T204" s="24"/>
      <c r="U204" s="24"/>
      <c r="V204" s="24"/>
      <c r="W204" s="59"/>
      <c r="X204" s="37"/>
      <c r="Y204" s="26"/>
      <c r="Z204" s="60"/>
      <c r="AA204" s="24"/>
      <c r="AB204" s="24"/>
      <c r="AC204" s="24"/>
      <c r="AD204" s="24"/>
      <c r="AE204" s="24"/>
      <c r="AF204" s="26"/>
      <c r="AG204" s="26"/>
      <c r="AH204" s="26"/>
      <c r="AI204" s="327" t="s">
        <v>548</v>
      </c>
      <c r="AJ204" s="328">
        <v>13.7</v>
      </c>
      <c r="AK204" s="329">
        <v>0.305</v>
      </c>
      <c r="AL204" s="330">
        <v>8</v>
      </c>
      <c r="AM204" s="329">
        <v>0.53</v>
      </c>
      <c r="AN204" s="330">
        <v>1.12</v>
      </c>
      <c r="AO204" s="328">
        <v>62.6</v>
      </c>
      <c r="AP204" s="328">
        <v>69.6</v>
      </c>
    </row>
    <row r="205" spans="11:42" ht="12.75">
      <c r="K205" s="68"/>
      <c r="L205" s="118"/>
      <c r="M205" s="53"/>
      <c r="N205" s="53"/>
      <c r="O205" s="53"/>
      <c r="P205" s="53"/>
      <c r="Q205" s="53"/>
      <c r="R205" s="53"/>
      <c r="S205" s="53"/>
      <c r="T205" s="24"/>
      <c r="U205" s="24"/>
      <c r="V205" s="24"/>
      <c r="W205" s="46"/>
      <c r="X205" s="24"/>
      <c r="Y205" s="24"/>
      <c r="Z205" s="26"/>
      <c r="AA205" s="24"/>
      <c r="AB205" s="24"/>
      <c r="AC205" s="24"/>
      <c r="AD205" s="24"/>
      <c r="AE205" s="24"/>
      <c r="AF205" s="26"/>
      <c r="AG205" s="26"/>
      <c r="AH205" s="26"/>
      <c r="AI205" s="327" t="s">
        <v>549</v>
      </c>
      <c r="AJ205" s="328">
        <v>14.1</v>
      </c>
      <c r="AK205" s="329">
        <v>0.31</v>
      </c>
      <c r="AL205" s="330">
        <v>6.77</v>
      </c>
      <c r="AM205" s="329">
        <v>0.515</v>
      </c>
      <c r="AN205" s="329">
        <v>0.915</v>
      </c>
      <c r="AO205" s="328">
        <v>54.6</v>
      </c>
      <c r="AP205" s="328">
        <v>61.5</v>
      </c>
    </row>
    <row r="206" spans="11:42" ht="12.75">
      <c r="K206" s="68"/>
      <c r="L206" s="118"/>
      <c r="M206" s="53"/>
      <c r="N206" s="53"/>
      <c r="O206" s="53"/>
      <c r="P206" s="53"/>
      <c r="Q206" s="53"/>
      <c r="R206" s="53"/>
      <c r="S206" s="53"/>
      <c r="T206" s="24"/>
      <c r="U206" s="24"/>
      <c r="V206" s="24"/>
      <c r="W206" s="28"/>
      <c r="X206" s="34"/>
      <c r="Y206" s="26"/>
      <c r="Z206" s="26"/>
      <c r="AA206" s="24"/>
      <c r="AB206" s="24"/>
      <c r="AC206" s="24"/>
      <c r="AD206" s="24"/>
      <c r="AE206" s="24"/>
      <c r="AF206" s="26"/>
      <c r="AG206" s="26"/>
      <c r="AH206" s="26"/>
      <c r="AI206" s="327" t="s">
        <v>550</v>
      </c>
      <c r="AJ206" s="328">
        <v>14</v>
      </c>
      <c r="AK206" s="329">
        <v>0.285</v>
      </c>
      <c r="AL206" s="330">
        <v>6.75</v>
      </c>
      <c r="AM206" s="329">
        <v>0.455</v>
      </c>
      <c r="AN206" s="329">
        <v>0.855</v>
      </c>
      <c r="AO206" s="328">
        <v>48.6</v>
      </c>
      <c r="AP206" s="328">
        <v>54.6</v>
      </c>
    </row>
    <row r="207" spans="11:42" ht="12.75">
      <c r="K207" s="53"/>
      <c r="L207" s="118"/>
      <c r="M207" s="53"/>
      <c r="N207" s="53"/>
      <c r="O207" s="53"/>
      <c r="P207" s="53"/>
      <c r="Q207" s="53"/>
      <c r="R207" s="53"/>
      <c r="S207" s="53"/>
      <c r="T207" s="24"/>
      <c r="U207" s="24"/>
      <c r="V207" s="24"/>
      <c r="W207" s="28"/>
      <c r="X207" s="36"/>
      <c r="Y207" s="26"/>
      <c r="Z207" s="26"/>
      <c r="AA207" s="24"/>
      <c r="AB207" s="24"/>
      <c r="AC207" s="24"/>
      <c r="AD207" s="24"/>
      <c r="AE207" s="24"/>
      <c r="AF207" s="26"/>
      <c r="AG207" s="26"/>
      <c r="AH207" s="26"/>
      <c r="AI207" s="327" t="s">
        <v>551</v>
      </c>
      <c r="AJ207" s="328">
        <v>13.8</v>
      </c>
      <c r="AK207" s="329">
        <v>0.27</v>
      </c>
      <c r="AL207" s="330">
        <v>6.73</v>
      </c>
      <c r="AM207" s="329">
        <v>0.385</v>
      </c>
      <c r="AN207" s="329">
        <v>0.785</v>
      </c>
      <c r="AO207" s="328">
        <v>42</v>
      </c>
      <c r="AP207" s="328">
        <v>47.3</v>
      </c>
    </row>
    <row r="208" spans="11:42" ht="12.75">
      <c r="K208" s="113"/>
      <c r="L208" s="118"/>
      <c r="M208" s="53"/>
      <c r="N208" s="113"/>
      <c r="O208" s="53"/>
      <c r="P208" s="53"/>
      <c r="Q208" s="53"/>
      <c r="R208" s="53"/>
      <c r="S208" s="53"/>
      <c r="T208" s="24"/>
      <c r="U208" s="24"/>
      <c r="V208" s="24"/>
      <c r="W208" s="28"/>
      <c r="X208" s="34"/>
      <c r="Y208" s="26"/>
      <c r="Z208" s="26"/>
      <c r="AA208" s="24"/>
      <c r="AB208" s="24"/>
      <c r="AC208" s="24"/>
      <c r="AD208" s="24"/>
      <c r="AE208" s="24"/>
      <c r="AF208" s="26"/>
      <c r="AG208" s="26"/>
      <c r="AH208" s="26"/>
      <c r="AI208" s="327" t="s">
        <v>552</v>
      </c>
      <c r="AJ208" s="328">
        <v>13.9</v>
      </c>
      <c r="AK208" s="329">
        <v>0.255</v>
      </c>
      <c r="AL208" s="330">
        <v>5.03</v>
      </c>
      <c r="AM208" s="329">
        <v>0.42</v>
      </c>
      <c r="AN208" s="329">
        <v>0.82</v>
      </c>
      <c r="AO208" s="328">
        <v>35.3</v>
      </c>
      <c r="AP208" s="328">
        <v>40.2</v>
      </c>
    </row>
    <row r="209" spans="11:42" ht="12.75">
      <c r="K209" s="53"/>
      <c r="L209" s="118"/>
      <c r="M209" s="53"/>
      <c r="N209" s="53"/>
      <c r="O209" s="53"/>
      <c r="P209" s="53"/>
      <c r="Q209" s="53"/>
      <c r="R209" s="53"/>
      <c r="S209" s="53"/>
      <c r="T209" s="24"/>
      <c r="U209" s="24"/>
      <c r="V209" s="24"/>
      <c r="W209" s="59"/>
      <c r="X209" s="34"/>
      <c r="Y209" s="26"/>
      <c r="Z209" s="60"/>
      <c r="AA209" s="24"/>
      <c r="AB209" s="24"/>
      <c r="AC209" s="24"/>
      <c r="AD209" s="24"/>
      <c r="AE209" s="24"/>
      <c r="AF209" s="26"/>
      <c r="AG209" s="26"/>
      <c r="AH209" s="26"/>
      <c r="AI209" s="327" t="s">
        <v>553</v>
      </c>
      <c r="AJ209" s="328">
        <v>13.7</v>
      </c>
      <c r="AK209" s="329">
        <v>0.23</v>
      </c>
      <c r="AL209" s="330">
        <v>5</v>
      </c>
      <c r="AM209" s="329">
        <v>0.335</v>
      </c>
      <c r="AN209" s="329">
        <v>0.735</v>
      </c>
      <c r="AO209" s="328">
        <v>29</v>
      </c>
      <c r="AP209" s="328">
        <v>33.2</v>
      </c>
    </row>
    <row r="210" spans="11:42" ht="12.75">
      <c r="K210" s="113"/>
      <c r="L210" s="118"/>
      <c r="M210" s="53"/>
      <c r="N210" s="113"/>
      <c r="O210" s="53"/>
      <c r="P210" s="53"/>
      <c r="Q210" s="53"/>
      <c r="R210" s="53"/>
      <c r="S210" s="53"/>
      <c r="T210" s="24"/>
      <c r="U210" s="24"/>
      <c r="V210" s="24"/>
      <c r="W210" s="59"/>
      <c r="X210" s="37"/>
      <c r="Y210" s="26"/>
      <c r="Z210" s="60"/>
      <c r="AA210" s="24"/>
      <c r="AB210" s="24"/>
      <c r="AC210" s="24"/>
      <c r="AD210" s="24"/>
      <c r="AE210" s="24"/>
      <c r="AF210" s="26"/>
      <c r="AG210" s="26"/>
      <c r="AH210" s="26"/>
      <c r="AI210" s="327" t="s">
        <v>554</v>
      </c>
      <c r="AJ210" s="328">
        <v>16.8</v>
      </c>
      <c r="AK210" s="330">
        <v>1.78</v>
      </c>
      <c r="AL210" s="328">
        <v>13.4</v>
      </c>
      <c r="AM210" s="330">
        <v>2.96</v>
      </c>
      <c r="AN210" s="330">
        <v>3.55</v>
      </c>
      <c r="AO210" s="331">
        <v>483</v>
      </c>
      <c r="AP210" s="331">
        <v>603</v>
      </c>
    </row>
    <row r="211" spans="11:42" ht="12.75">
      <c r="K211" s="113"/>
      <c r="L211" s="84"/>
      <c r="M211" s="53"/>
      <c r="N211" s="113"/>
      <c r="O211" s="53"/>
      <c r="P211" s="53"/>
      <c r="Q211" s="53"/>
      <c r="R211" s="53"/>
      <c r="S211" s="53"/>
      <c r="T211" s="24"/>
      <c r="U211" s="24"/>
      <c r="V211" s="24"/>
      <c r="W211" s="22"/>
      <c r="X211" s="24"/>
      <c r="Y211" s="24"/>
      <c r="Z211" s="26"/>
      <c r="AA211" s="24"/>
      <c r="AB211" s="24"/>
      <c r="AC211" s="24"/>
      <c r="AD211" s="24"/>
      <c r="AE211" s="24"/>
      <c r="AF211" s="26"/>
      <c r="AG211" s="26"/>
      <c r="AH211" s="26"/>
      <c r="AI211" s="327" t="s">
        <v>555</v>
      </c>
      <c r="AJ211" s="328">
        <v>16.3</v>
      </c>
      <c r="AK211" s="330">
        <v>1.63</v>
      </c>
      <c r="AL211" s="328">
        <v>13.2</v>
      </c>
      <c r="AM211" s="330">
        <v>2.71</v>
      </c>
      <c r="AN211" s="330">
        <v>3.3</v>
      </c>
      <c r="AO211" s="331">
        <v>435</v>
      </c>
      <c r="AP211" s="331">
        <v>537</v>
      </c>
    </row>
    <row r="212" spans="11:42" ht="12.75">
      <c r="K212" s="113"/>
      <c r="L212" s="118"/>
      <c r="M212" s="53"/>
      <c r="N212" s="68"/>
      <c r="O212" s="53"/>
      <c r="P212" s="53"/>
      <c r="Q212" s="53"/>
      <c r="R212" s="53"/>
      <c r="S212" s="53"/>
      <c r="T212" s="24"/>
      <c r="U212" s="24"/>
      <c r="V212" s="24"/>
      <c r="W212" s="28"/>
      <c r="X212" s="36"/>
      <c r="Y212" s="26"/>
      <c r="Z212" s="26"/>
      <c r="AA212" s="24"/>
      <c r="AB212" s="24"/>
      <c r="AC212" s="24"/>
      <c r="AD212" s="24"/>
      <c r="AE212" s="24"/>
      <c r="AF212" s="26"/>
      <c r="AG212" s="26"/>
      <c r="AH212" s="26"/>
      <c r="AI212" s="327" t="s">
        <v>556</v>
      </c>
      <c r="AJ212" s="328">
        <v>15.9</v>
      </c>
      <c r="AK212" s="330">
        <v>1.53</v>
      </c>
      <c r="AL212" s="328">
        <v>13.1</v>
      </c>
      <c r="AM212" s="330">
        <v>2.47</v>
      </c>
      <c r="AN212" s="330">
        <v>3.07</v>
      </c>
      <c r="AO212" s="331">
        <v>393</v>
      </c>
      <c r="AP212" s="331">
        <v>481</v>
      </c>
    </row>
    <row r="213" spans="11:42" ht="12.75">
      <c r="K213" s="53"/>
      <c r="L213" s="84"/>
      <c r="M213" s="53"/>
      <c r="N213" s="53"/>
      <c r="O213" s="53"/>
      <c r="P213" s="53"/>
      <c r="Q213" s="53"/>
      <c r="R213" s="68"/>
      <c r="S213" s="53"/>
      <c r="T213" s="24"/>
      <c r="U213" s="24"/>
      <c r="V213" s="24"/>
      <c r="W213" s="28"/>
      <c r="X213" s="36"/>
      <c r="Y213" s="26"/>
      <c r="Z213" s="26"/>
      <c r="AA213" s="24"/>
      <c r="AB213" s="24"/>
      <c r="AC213" s="24"/>
      <c r="AD213" s="24"/>
      <c r="AE213" s="24"/>
      <c r="AF213" s="26"/>
      <c r="AG213" s="26"/>
      <c r="AH213" s="26"/>
      <c r="AI213" s="327" t="s">
        <v>557</v>
      </c>
      <c r="AJ213" s="328">
        <v>15.4</v>
      </c>
      <c r="AK213" s="330">
        <v>1.4</v>
      </c>
      <c r="AL213" s="328">
        <v>13</v>
      </c>
      <c r="AM213" s="330">
        <v>2.25</v>
      </c>
      <c r="AN213" s="330">
        <v>2.85</v>
      </c>
      <c r="AO213" s="331">
        <v>353</v>
      </c>
      <c r="AP213" s="331">
        <v>428</v>
      </c>
    </row>
    <row r="214" spans="11:42" ht="12.75">
      <c r="K214" s="53"/>
      <c r="L214" s="84"/>
      <c r="M214" s="53"/>
      <c r="N214" s="53"/>
      <c r="O214" s="53"/>
      <c r="P214" s="53"/>
      <c r="Q214" s="53"/>
      <c r="R214" s="53"/>
      <c r="S214" s="53"/>
      <c r="T214" s="24"/>
      <c r="U214" s="24"/>
      <c r="V214" s="24"/>
      <c r="W214" s="22"/>
      <c r="X214" s="24"/>
      <c r="Y214" s="24"/>
      <c r="Z214" s="26"/>
      <c r="AA214" s="24"/>
      <c r="AB214" s="24"/>
      <c r="AC214" s="24"/>
      <c r="AD214" s="24"/>
      <c r="AE214" s="24"/>
      <c r="AF214" s="26"/>
      <c r="AG214" s="26"/>
      <c r="AH214" s="26"/>
      <c r="AI214" s="327" t="s">
        <v>558</v>
      </c>
      <c r="AJ214" s="328">
        <v>15.1</v>
      </c>
      <c r="AK214" s="330">
        <v>1.29</v>
      </c>
      <c r="AL214" s="328">
        <v>12.9</v>
      </c>
      <c r="AM214" s="330">
        <v>2.07</v>
      </c>
      <c r="AN214" s="330">
        <v>2.67</v>
      </c>
      <c r="AO214" s="331">
        <v>321</v>
      </c>
      <c r="AP214" s="331">
        <v>386</v>
      </c>
    </row>
    <row r="215" spans="11:42" ht="12.75">
      <c r="K215" s="113"/>
      <c r="L215" s="118"/>
      <c r="M215" s="53"/>
      <c r="N215" s="113"/>
      <c r="O215" s="53"/>
      <c r="P215" s="53"/>
      <c r="Q215" s="53"/>
      <c r="R215" s="68"/>
      <c r="S215" s="53"/>
      <c r="T215" s="24"/>
      <c r="U215" s="24"/>
      <c r="V215" s="24"/>
      <c r="W215" s="28"/>
      <c r="X215" s="29"/>
      <c r="Y215" s="26"/>
      <c r="Z215" s="26"/>
      <c r="AA215" s="24"/>
      <c r="AB215" s="24"/>
      <c r="AC215" s="24"/>
      <c r="AD215" s="24"/>
      <c r="AE215" s="24"/>
      <c r="AF215" s="26"/>
      <c r="AG215" s="26"/>
      <c r="AH215" s="26"/>
      <c r="AI215" s="327" t="s">
        <v>559</v>
      </c>
      <c r="AJ215" s="328">
        <v>14.7</v>
      </c>
      <c r="AK215" s="330">
        <v>1.18</v>
      </c>
      <c r="AL215" s="328">
        <v>12.8</v>
      </c>
      <c r="AM215" s="330">
        <v>1.9</v>
      </c>
      <c r="AN215" s="330">
        <v>2.5</v>
      </c>
      <c r="AO215" s="331">
        <v>292</v>
      </c>
      <c r="AP215" s="331">
        <v>348</v>
      </c>
    </row>
    <row r="216" spans="11:42" ht="12.75">
      <c r="K216" s="53"/>
      <c r="L216" s="83"/>
      <c r="M216" s="53"/>
      <c r="N216" s="53"/>
      <c r="O216" s="53"/>
      <c r="P216" s="53"/>
      <c r="Q216" s="53"/>
      <c r="R216" s="68"/>
      <c r="S216" s="53"/>
      <c r="T216" s="24"/>
      <c r="U216" s="24"/>
      <c r="V216" s="24"/>
      <c r="W216" s="28"/>
      <c r="X216" s="29"/>
      <c r="Y216" s="26"/>
      <c r="Z216" s="26"/>
      <c r="AA216" s="24"/>
      <c r="AB216" s="24"/>
      <c r="AC216" s="24"/>
      <c r="AD216" s="24"/>
      <c r="AE216" s="24"/>
      <c r="AF216" s="26"/>
      <c r="AG216" s="26"/>
      <c r="AH216" s="26"/>
      <c r="AI216" s="327" t="s">
        <v>560</v>
      </c>
      <c r="AJ216" s="328">
        <v>14.4</v>
      </c>
      <c r="AK216" s="330">
        <v>1.06</v>
      </c>
      <c r="AL216" s="328">
        <v>12.7</v>
      </c>
      <c r="AM216" s="330">
        <v>1.74</v>
      </c>
      <c r="AN216" s="330">
        <v>2.33</v>
      </c>
      <c r="AO216" s="331">
        <v>263</v>
      </c>
      <c r="AP216" s="331">
        <v>311</v>
      </c>
    </row>
    <row r="217" spans="11:42" ht="12.75">
      <c r="K217" s="53"/>
      <c r="L217" s="53"/>
      <c r="M217" s="53"/>
      <c r="N217" s="53"/>
      <c r="O217" s="53"/>
      <c r="P217" s="53"/>
      <c r="Q217" s="53"/>
      <c r="R217" s="68"/>
      <c r="S217" s="53"/>
      <c r="T217" s="24"/>
      <c r="U217" s="24"/>
      <c r="V217" s="24"/>
      <c r="W217" s="28"/>
      <c r="X217" s="36"/>
      <c r="Y217" s="26"/>
      <c r="Z217" s="26"/>
      <c r="AA217" s="24"/>
      <c r="AB217" s="24"/>
      <c r="AC217" s="24"/>
      <c r="AD217" s="24"/>
      <c r="AE217" s="24"/>
      <c r="AF217" s="26"/>
      <c r="AG217" s="26"/>
      <c r="AH217" s="26"/>
      <c r="AI217" s="327" t="s">
        <v>561</v>
      </c>
      <c r="AJ217" s="328">
        <v>14</v>
      </c>
      <c r="AK217" s="329">
        <v>0.96</v>
      </c>
      <c r="AL217" s="328">
        <v>12.6</v>
      </c>
      <c r="AM217" s="330">
        <v>1.56</v>
      </c>
      <c r="AN217" s="330">
        <v>2.16</v>
      </c>
      <c r="AO217" s="331">
        <v>235</v>
      </c>
      <c r="AP217" s="331">
        <v>275</v>
      </c>
    </row>
    <row r="218" spans="11:42" ht="12.75">
      <c r="K218" s="53"/>
      <c r="L218" s="53"/>
      <c r="M218" s="53"/>
      <c r="N218" s="53"/>
      <c r="O218" s="53"/>
      <c r="P218" s="53"/>
      <c r="Q218" s="53"/>
      <c r="R218" s="53"/>
      <c r="S218" s="53"/>
      <c r="T218" s="24"/>
      <c r="U218" s="24"/>
      <c r="V218" s="24"/>
      <c r="W218" s="28"/>
      <c r="X218" s="36"/>
      <c r="Y218" s="26"/>
      <c r="Z218" s="26"/>
      <c r="AA218" s="24"/>
      <c r="AB218" s="24"/>
      <c r="AC218" s="24"/>
      <c r="AD218" s="24"/>
      <c r="AE218" s="24"/>
      <c r="AF218" s="26"/>
      <c r="AG218" s="26"/>
      <c r="AH218" s="26"/>
      <c r="AI218" s="327" t="s">
        <v>562</v>
      </c>
      <c r="AJ218" s="328">
        <v>13.7</v>
      </c>
      <c r="AK218" s="329">
        <v>0.87</v>
      </c>
      <c r="AL218" s="328">
        <v>12.5</v>
      </c>
      <c r="AM218" s="330">
        <v>1.4</v>
      </c>
      <c r="AN218" s="330">
        <v>2</v>
      </c>
      <c r="AO218" s="331">
        <v>209</v>
      </c>
      <c r="AP218" s="331">
        <v>243</v>
      </c>
    </row>
    <row r="219" spans="11:42" ht="12.75">
      <c r="K219" s="68"/>
      <c r="L219" s="118"/>
      <c r="M219" s="68"/>
      <c r="N219" s="68"/>
      <c r="O219" s="53"/>
      <c r="P219" s="53"/>
      <c r="Q219" s="53"/>
      <c r="R219" s="53"/>
      <c r="S219" s="53"/>
      <c r="T219" s="24"/>
      <c r="U219" s="24"/>
      <c r="V219" s="24"/>
      <c r="W219" s="28"/>
      <c r="X219" s="36"/>
      <c r="Y219" s="26"/>
      <c r="Z219" s="26"/>
      <c r="AA219" s="24"/>
      <c r="AB219" s="24"/>
      <c r="AC219" s="24"/>
      <c r="AD219" s="24"/>
      <c r="AE219" s="24"/>
      <c r="AF219" s="26"/>
      <c r="AG219" s="26"/>
      <c r="AH219" s="26"/>
      <c r="AI219" s="327" t="s">
        <v>563</v>
      </c>
      <c r="AJ219" s="328">
        <v>13.4</v>
      </c>
      <c r="AK219" s="329">
        <v>0.79</v>
      </c>
      <c r="AL219" s="328">
        <v>12.4</v>
      </c>
      <c r="AM219" s="330">
        <v>1.25</v>
      </c>
      <c r="AN219" s="330">
        <v>1.85</v>
      </c>
      <c r="AO219" s="331">
        <v>186</v>
      </c>
      <c r="AP219" s="331">
        <v>214</v>
      </c>
    </row>
    <row r="220" spans="11:42" ht="12.75">
      <c r="K220" s="68"/>
      <c r="L220" s="118"/>
      <c r="M220" s="53"/>
      <c r="N220" s="68"/>
      <c r="O220" s="53"/>
      <c r="P220" s="53"/>
      <c r="Q220" s="53"/>
      <c r="R220" s="53"/>
      <c r="S220" s="53"/>
      <c r="T220" s="24"/>
      <c r="U220" s="24"/>
      <c r="V220" s="24"/>
      <c r="W220" s="24"/>
      <c r="X220" s="24"/>
      <c r="Y220" s="29"/>
      <c r="Z220" s="24"/>
      <c r="AA220" s="24"/>
      <c r="AB220" s="24"/>
      <c r="AC220" s="24"/>
      <c r="AD220" s="24"/>
      <c r="AE220" s="24"/>
      <c r="AF220" s="26"/>
      <c r="AG220" s="26"/>
      <c r="AH220" s="26"/>
      <c r="AI220" s="327" t="s">
        <v>564</v>
      </c>
      <c r="AJ220" s="328">
        <v>13.1</v>
      </c>
      <c r="AK220" s="329">
        <v>0.71</v>
      </c>
      <c r="AL220" s="328">
        <v>12.3</v>
      </c>
      <c r="AM220" s="330">
        <v>1.11</v>
      </c>
      <c r="AN220" s="330">
        <v>1.7</v>
      </c>
      <c r="AO220" s="331">
        <v>163</v>
      </c>
      <c r="AP220" s="331">
        <v>186</v>
      </c>
    </row>
    <row r="221" spans="11:42" ht="12.75">
      <c r="K221" s="68"/>
      <c r="L221" s="118"/>
      <c r="M221" s="53"/>
      <c r="N221" s="53"/>
      <c r="O221" s="53"/>
      <c r="P221" s="53"/>
      <c r="Q221" s="53"/>
      <c r="R221" s="53"/>
      <c r="S221" s="53"/>
      <c r="T221" s="24"/>
      <c r="U221" s="24"/>
      <c r="V221" s="24"/>
      <c r="W221" s="24"/>
      <c r="X221" s="24"/>
      <c r="Y221" s="29"/>
      <c r="Z221" s="24"/>
      <c r="AA221" s="24"/>
      <c r="AB221" s="24"/>
      <c r="AC221" s="24"/>
      <c r="AD221" s="24"/>
      <c r="AE221" s="24"/>
      <c r="AF221" s="26"/>
      <c r="AG221" s="26"/>
      <c r="AH221" s="26"/>
      <c r="AI221" s="327" t="s">
        <v>565</v>
      </c>
      <c r="AJ221" s="328">
        <v>12.9</v>
      </c>
      <c r="AK221" s="329">
        <v>0.61</v>
      </c>
      <c r="AL221" s="328">
        <v>12.2</v>
      </c>
      <c r="AM221" s="329">
        <v>0.99</v>
      </c>
      <c r="AN221" s="330">
        <v>1.59</v>
      </c>
      <c r="AO221" s="331">
        <v>145</v>
      </c>
      <c r="AP221" s="331">
        <v>164</v>
      </c>
    </row>
    <row r="222" spans="11:42" ht="12.75">
      <c r="K222" s="68"/>
      <c r="L222" s="118"/>
      <c r="M222" s="53"/>
      <c r="N222" s="53"/>
      <c r="O222" s="53"/>
      <c r="P222" s="53"/>
      <c r="Q222" s="53"/>
      <c r="R222" s="53"/>
      <c r="S222" s="53"/>
      <c r="T222" s="24"/>
      <c r="U222" s="24"/>
      <c r="V222" s="24"/>
      <c r="W222" s="24"/>
      <c r="X222" s="24"/>
      <c r="Y222" s="29"/>
      <c r="Z222" s="24"/>
      <c r="AA222" s="24"/>
      <c r="AB222" s="24"/>
      <c r="AC222" s="24"/>
      <c r="AD222" s="24"/>
      <c r="AE222" s="24"/>
      <c r="AF222" s="26"/>
      <c r="AG222" s="26"/>
      <c r="AH222" s="26"/>
      <c r="AI222" s="327" t="s">
        <v>566</v>
      </c>
      <c r="AJ222" s="328">
        <v>12.7</v>
      </c>
      <c r="AK222" s="329">
        <v>0.55</v>
      </c>
      <c r="AL222" s="328">
        <v>12.2</v>
      </c>
      <c r="AM222" s="329">
        <v>0.9</v>
      </c>
      <c r="AN222" s="330">
        <v>1.5</v>
      </c>
      <c r="AO222" s="331">
        <v>131</v>
      </c>
      <c r="AP222" s="331">
        <v>147</v>
      </c>
    </row>
    <row r="223" spans="11:42" ht="12.75">
      <c r="K223" s="53"/>
      <c r="L223" s="118"/>
      <c r="M223" s="53"/>
      <c r="N223" s="53"/>
      <c r="O223" s="53"/>
      <c r="P223" s="53"/>
      <c r="Q223" s="53"/>
      <c r="R223" s="53"/>
      <c r="S223" s="53"/>
      <c r="T223" s="24"/>
      <c r="U223" s="24"/>
      <c r="V223" s="24"/>
      <c r="W223" s="24"/>
      <c r="X223" s="24"/>
      <c r="Y223" s="29"/>
      <c r="Z223" s="24"/>
      <c r="AA223" s="24"/>
      <c r="AB223" s="24"/>
      <c r="AC223" s="24"/>
      <c r="AD223" s="24"/>
      <c r="AE223" s="24"/>
      <c r="AF223" s="26"/>
      <c r="AG223" s="26"/>
      <c r="AH223" s="26"/>
      <c r="AI223" s="327" t="s">
        <v>567</v>
      </c>
      <c r="AJ223" s="328">
        <v>12.5</v>
      </c>
      <c r="AK223" s="329">
        <v>0.515</v>
      </c>
      <c r="AL223" s="328">
        <v>12.1</v>
      </c>
      <c r="AM223" s="329">
        <v>0.81</v>
      </c>
      <c r="AN223" s="330">
        <v>1.41</v>
      </c>
      <c r="AO223" s="331">
        <v>118</v>
      </c>
      <c r="AP223" s="331">
        <v>132</v>
      </c>
    </row>
    <row r="224" spans="11:42" ht="12.75">
      <c r="K224" s="113"/>
      <c r="L224" s="118"/>
      <c r="M224" s="53"/>
      <c r="N224" s="113"/>
      <c r="O224" s="53"/>
      <c r="P224" s="53"/>
      <c r="Q224" s="53"/>
      <c r="R224" s="53"/>
      <c r="S224" s="53"/>
      <c r="T224" s="24"/>
      <c r="U224" s="24"/>
      <c r="V224" s="24"/>
      <c r="W224" s="24"/>
      <c r="X224" s="24"/>
      <c r="Y224" s="29"/>
      <c r="Z224" s="24"/>
      <c r="AA224" s="24"/>
      <c r="AB224" s="24"/>
      <c r="AC224" s="24"/>
      <c r="AD224" s="24"/>
      <c r="AE224" s="24"/>
      <c r="AF224" s="26"/>
      <c r="AG224" s="26"/>
      <c r="AH224" s="26"/>
      <c r="AI224" s="327" t="s">
        <v>568</v>
      </c>
      <c r="AJ224" s="328">
        <v>12.4</v>
      </c>
      <c r="AK224" s="329">
        <v>0.47</v>
      </c>
      <c r="AL224" s="328">
        <v>12.1</v>
      </c>
      <c r="AM224" s="329">
        <v>0.735</v>
      </c>
      <c r="AN224" s="330">
        <v>1.33</v>
      </c>
      <c r="AO224" s="331">
        <v>107</v>
      </c>
      <c r="AP224" s="331">
        <v>119</v>
      </c>
    </row>
    <row r="225" spans="11:42" ht="12.75">
      <c r="K225" s="53"/>
      <c r="L225" s="118"/>
      <c r="M225" s="53"/>
      <c r="N225" s="53"/>
      <c r="O225" s="53"/>
      <c r="P225" s="53"/>
      <c r="Q225" s="53"/>
      <c r="R225" s="53"/>
      <c r="S225" s="53"/>
      <c r="T225" s="24"/>
      <c r="U225" s="24"/>
      <c r="V225" s="24"/>
      <c r="W225" s="24"/>
      <c r="X225" s="24"/>
      <c r="Y225" s="29"/>
      <c r="Z225" s="24"/>
      <c r="AA225" s="24"/>
      <c r="AB225" s="24"/>
      <c r="AC225" s="24"/>
      <c r="AD225" s="24"/>
      <c r="AE225" s="24"/>
      <c r="AF225" s="26"/>
      <c r="AG225" s="26"/>
      <c r="AH225" s="26"/>
      <c r="AI225" s="327" t="s">
        <v>569</v>
      </c>
      <c r="AJ225" s="328">
        <v>12.3</v>
      </c>
      <c r="AK225" s="329">
        <v>0.43</v>
      </c>
      <c r="AL225" s="328">
        <v>12</v>
      </c>
      <c r="AM225" s="329">
        <v>0.67</v>
      </c>
      <c r="AN225" s="330">
        <v>1.27</v>
      </c>
      <c r="AO225" s="328">
        <v>97.4</v>
      </c>
      <c r="AP225" s="331">
        <v>108</v>
      </c>
    </row>
    <row r="226" spans="11:42" ht="12.75">
      <c r="K226" s="113"/>
      <c r="L226" s="118"/>
      <c r="M226" s="53"/>
      <c r="N226" s="113"/>
      <c r="O226" s="53"/>
      <c r="P226" s="53"/>
      <c r="Q226" s="53"/>
      <c r="R226" s="53"/>
      <c r="S226" s="53"/>
      <c r="T226" s="24"/>
      <c r="U226" s="24"/>
      <c r="V226" s="24"/>
      <c r="W226" s="24"/>
      <c r="X226" s="24"/>
      <c r="Y226" s="29"/>
      <c r="Z226" s="24"/>
      <c r="AA226" s="24"/>
      <c r="AB226" s="24"/>
      <c r="AC226" s="24"/>
      <c r="AD226" s="24"/>
      <c r="AE226" s="24"/>
      <c r="AF226" s="26"/>
      <c r="AG226" s="26"/>
      <c r="AH226" s="26"/>
      <c r="AI226" s="327" t="s">
        <v>570</v>
      </c>
      <c r="AJ226" s="328">
        <v>12.1</v>
      </c>
      <c r="AK226" s="329">
        <v>0.39</v>
      </c>
      <c r="AL226" s="328">
        <v>12</v>
      </c>
      <c r="AM226" s="329">
        <v>0.605</v>
      </c>
      <c r="AN226" s="330">
        <v>1.2</v>
      </c>
      <c r="AO226" s="328">
        <v>87.9</v>
      </c>
      <c r="AP226" s="328">
        <v>96.8</v>
      </c>
    </row>
    <row r="227" spans="11:42" ht="12.75">
      <c r="K227" s="113"/>
      <c r="L227" s="84"/>
      <c r="M227" s="53"/>
      <c r="N227" s="113"/>
      <c r="O227" s="53"/>
      <c r="P227" s="53"/>
      <c r="Q227" s="53"/>
      <c r="R227" s="53"/>
      <c r="S227" s="68"/>
      <c r="T227" s="24"/>
      <c r="U227" s="24"/>
      <c r="V227" s="24"/>
      <c r="W227" s="24"/>
      <c r="X227" s="24"/>
      <c r="Y227" s="29"/>
      <c r="Z227" s="24"/>
      <c r="AA227" s="24"/>
      <c r="AB227" s="24"/>
      <c r="AC227" s="24"/>
      <c r="AD227" s="24"/>
      <c r="AE227" s="24"/>
      <c r="AF227" s="26"/>
      <c r="AG227" s="26"/>
      <c r="AH227" s="26"/>
      <c r="AI227" s="327" t="s">
        <v>571</v>
      </c>
      <c r="AJ227" s="328">
        <v>12.2</v>
      </c>
      <c r="AK227" s="329">
        <v>0.36</v>
      </c>
      <c r="AL227" s="328">
        <v>10</v>
      </c>
      <c r="AM227" s="329">
        <v>0.64</v>
      </c>
      <c r="AN227" s="330">
        <v>1.24</v>
      </c>
      <c r="AO227" s="328">
        <v>78</v>
      </c>
      <c r="AP227" s="328">
        <v>86.4</v>
      </c>
    </row>
    <row r="228" spans="11:42" ht="12.75">
      <c r="K228" s="113"/>
      <c r="L228" s="118"/>
      <c r="M228" s="53"/>
      <c r="N228" s="68"/>
      <c r="O228" s="53"/>
      <c r="P228" s="53"/>
      <c r="Q228" s="53"/>
      <c r="R228" s="53"/>
      <c r="S228" s="68"/>
      <c r="T228" s="24"/>
      <c r="U228" s="24"/>
      <c r="V228" s="24"/>
      <c r="W228" s="24"/>
      <c r="X228" s="24"/>
      <c r="Y228" s="29"/>
      <c r="Z228" s="24"/>
      <c r="AA228" s="24"/>
      <c r="AB228" s="24"/>
      <c r="AC228" s="24"/>
      <c r="AD228" s="24"/>
      <c r="AE228" s="24"/>
      <c r="AF228" s="26"/>
      <c r="AG228" s="26"/>
      <c r="AH228" s="26"/>
      <c r="AI228" s="327" t="s">
        <v>572</v>
      </c>
      <c r="AJ228" s="328">
        <v>12.1</v>
      </c>
      <c r="AK228" s="329">
        <v>0.345</v>
      </c>
      <c r="AL228" s="328">
        <v>10</v>
      </c>
      <c r="AM228" s="329">
        <v>0.575</v>
      </c>
      <c r="AN228" s="330">
        <v>1.18</v>
      </c>
      <c r="AO228" s="328">
        <v>70.6</v>
      </c>
      <c r="AP228" s="328">
        <v>77.9</v>
      </c>
    </row>
    <row r="229" spans="11:42" ht="12.75">
      <c r="K229" s="53"/>
      <c r="L229" s="84"/>
      <c r="M229" s="53"/>
      <c r="N229" s="53"/>
      <c r="O229" s="53"/>
      <c r="P229" s="53"/>
      <c r="Q229" s="53"/>
      <c r="R229" s="68"/>
      <c r="S229" s="68"/>
      <c r="T229" s="24"/>
      <c r="U229" s="24"/>
      <c r="V229" s="24"/>
      <c r="W229" s="24"/>
      <c r="X229" s="24"/>
      <c r="Y229" s="29"/>
      <c r="Z229" s="24"/>
      <c r="AA229" s="24"/>
      <c r="AB229" s="24"/>
      <c r="AC229" s="24"/>
      <c r="AD229" s="24"/>
      <c r="AE229" s="24"/>
      <c r="AF229" s="26"/>
      <c r="AG229" s="26"/>
      <c r="AH229" s="26"/>
      <c r="AI229" s="327" t="s">
        <v>573</v>
      </c>
      <c r="AJ229" s="328">
        <v>12.2</v>
      </c>
      <c r="AK229" s="329">
        <v>0.37</v>
      </c>
      <c r="AL229" s="330">
        <v>8.08</v>
      </c>
      <c r="AM229" s="329">
        <v>0.64</v>
      </c>
      <c r="AN229" s="330">
        <v>1.14</v>
      </c>
      <c r="AO229" s="328">
        <v>64.2</v>
      </c>
      <c r="AP229" s="328">
        <v>71.9</v>
      </c>
    </row>
    <row r="230" spans="11:42" ht="12.75">
      <c r="K230" s="53"/>
      <c r="L230" s="84"/>
      <c r="M230" s="53"/>
      <c r="N230" s="53"/>
      <c r="O230" s="53"/>
      <c r="P230" s="53"/>
      <c r="Q230" s="53"/>
      <c r="R230" s="53"/>
      <c r="S230" s="68"/>
      <c r="T230" s="24"/>
      <c r="U230" s="24"/>
      <c r="V230" s="24"/>
      <c r="W230" s="24"/>
      <c r="X230" s="24"/>
      <c r="Y230" s="29"/>
      <c r="Z230" s="24"/>
      <c r="AA230" s="24"/>
      <c r="AB230" s="24"/>
      <c r="AC230" s="24"/>
      <c r="AD230" s="24"/>
      <c r="AE230" s="24"/>
      <c r="AF230" s="26"/>
      <c r="AG230" s="26"/>
      <c r="AH230" s="26"/>
      <c r="AI230" s="327" t="s">
        <v>574</v>
      </c>
      <c r="AJ230" s="328">
        <v>12.1</v>
      </c>
      <c r="AK230" s="329">
        <v>0.335</v>
      </c>
      <c r="AL230" s="330">
        <v>8.05</v>
      </c>
      <c r="AM230" s="329">
        <v>0.575</v>
      </c>
      <c r="AN230" s="330">
        <v>1.08</v>
      </c>
      <c r="AO230" s="328">
        <v>57.7</v>
      </c>
      <c r="AP230" s="328">
        <v>64.2</v>
      </c>
    </row>
    <row r="231" spans="11:42" ht="12.75">
      <c r="K231" s="113"/>
      <c r="L231" s="118"/>
      <c r="M231" s="53"/>
      <c r="N231" s="113"/>
      <c r="O231" s="53"/>
      <c r="P231" s="53"/>
      <c r="Q231" s="53"/>
      <c r="R231" s="53"/>
      <c r="S231" s="68"/>
      <c r="T231" s="24"/>
      <c r="U231" s="24"/>
      <c r="V231" s="24"/>
      <c r="W231" s="24"/>
      <c r="X231" s="24"/>
      <c r="Y231" s="29"/>
      <c r="Z231" s="24"/>
      <c r="AA231" s="24"/>
      <c r="AB231" s="24"/>
      <c r="AC231" s="24"/>
      <c r="AD231" s="24"/>
      <c r="AE231" s="24"/>
      <c r="AF231" s="26"/>
      <c r="AG231" s="26"/>
      <c r="AH231" s="26"/>
      <c r="AI231" s="327" t="s">
        <v>575</v>
      </c>
      <c r="AJ231" s="328">
        <v>11.9</v>
      </c>
      <c r="AK231" s="329">
        <v>0.295</v>
      </c>
      <c r="AL231" s="330">
        <v>8.01</v>
      </c>
      <c r="AM231" s="329">
        <v>0.515</v>
      </c>
      <c r="AN231" s="330">
        <v>1.02</v>
      </c>
      <c r="AO231" s="328">
        <v>51.5</v>
      </c>
      <c r="AP231" s="328">
        <v>57</v>
      </c>
    </row>
    <row r="232" spans="11:42" ht="12.75">
      <c r="K232" s="53"/>
      <c r="L232" s="83"/>
      <c r="M232" s="53"/>
      <c r="N232" s="53"/>
      <c r="O232" s="53"/>
      <c r="P232" s="53"/>
      <c r="Q232" s="53"/>
      <c r="R232" s="53"/>
      <c r="S232" s="68"/>
      <c r="T232" s="24"/>
      <c r="U232" s="24"/>
      <c r="V232" s="24"/>
      <c r="W232" s="24"/>
      <c r="X232" s="24"/>
      <c r="Y232" s="29"/>
      <c r="Z232" s="24"/>
      <c r="AA232" s="24"/>
      <c r="AB232" s="24"/>
      <c r="AC232" s="24"/>
      <c r="AD232" s="24"/>
      <c r="AE232" s="24"/>
      <c r="AF232" s="26"/>
      <c r="AG232" s="26"/>
      <c r="AH232" s="26"/>
      <c r="AI232" s="327" t="s">
        <v>576</v>
      </c>
      <c r="AJ232" s="328">
        <v>12.5</v>
      </c>
      <c r="AK232" s="329">
        <v>0.3</v>
      </c>
      <c r="AL232" s="330">
        <v>6.56</v>
      </c>
      <c r="AM232" s="329">
        <v>0.52</v>
      </c>
      <c r="AN232" s="329">
        <v>0.82</v>
      </c>
      <c r="AO232" s="328">
        <v>45.6</v>
      </c>
      <c r="AP232" s="328">
        <v>51.2</v>
      </c>
    </row>
    <row r="233" spans="11:42" ht="12.75">
      <c r="K233" s="53"/>
      <c r="L233" s="53"/>
      <c r="M233" s="53"/>
      <c r="N233" s="53"/>
      <c r="O233" s="53"/>
      <c r="P233" s="53"/>
      <c r="Q233" s="53"/>
      <c r="R233" s="68"/>
      <c r="S233" s="68"/>
      <c r="T233" s="24"/>
      <c r="U233" s="24"/>
      <c r="V233" s="24"/>
      <c r="W233" s="24"/>
      <c r="X233" s="24"/>
      <c r="Y233" s="29"/>
      <c r="Z233" s="24"/>
      <c r="AA233" s="24"/>
      <c r="AB233" s="24"/>
      <c r="AC233" s="24"/>
      <c r="AD233" s="24"/>
      <c r="AE233" s="24"/>
      <c r="AF233" s="26"/>
      <c r="AG233" s="26"/>
      <c r="AH233" s="26"/>
      <c r="AI233" s="327" t="s">
        <v>577</v>
      </c>
      <c r="AJ233" s="328">
        <v>12.3</v>
      </c>
      <c r="AK233" s="329">
        <v>0.26</v>
      </c>
      <c r="AL233" s="330">
        <v>6.52</v>
      </c>
      <c r="AM233" s="329">
        <v>0.44</v>
      </c>
      <c r="AN233" s="329">
        <v>0.74</v>
      </c>
      <c r="AO233" s="328">
        <v>38.6</v>
      </c>
      <c r="AP233" s="328">
        <v>43.1</v>
      </c>
    </row>
    <row r="234" spans="11:42" ht="12.75">
      <c r="K234" s="68"/>
      <c r="L234" s="53"/>
      <c r="M234" s="53"/>
      <c r="N234" s="53"/>
      <c r="O234" s="53"/>
      <c r="P234" s="53"/>
      <c r="Q234" s="53"/>
      <c r="R234" s="53"/>
      <c r="S234" s="53"/>
      <c r="T234" s="24"/>
      <c r="U234" s="24"/>
      <c r="V234" s="24"/>
      <c r="W234" s="24"/>
      <c r="X234" s="24"/>
      <c r="Y234" s="29"/>
      <c r="Z234" s="24"/>
      <c r="AA234" s="24"/>
      <c r="AB234" s="24"/>
      <c r="AC234" s="24"/>
      <c r="AD234" s="24"/>
      <c r="AE234" s="24"/>
      <c r="AF234" s="26"/>
      <c r="AG234" s="26"/>
      <c r="AH234" s="26"/>
      <c r="AI234" s="327" t="s">
        <v>578</v>
      </c>
      <c r="AJ234" s="328">
        <v>12.2</v>
      </c>
      <c r="AK234" s="329">
        <v>0.23</v>
      </c>
      <c r="AL234" s="330">
        <v>6.49</v>
      </c>
      <c r="AM234" s="329">
        <v>0.38</v>
      </c>
      <c r="AN234" s="329">
        <v>0.68</v>
      </c>
      <c r="AO234" s="328">
        <v>33.4</v>
      </c>
      <c r="AP234" s="328">
        <v>37.2</v>
      </c>
    </row>
    <row r="235" spans="11:42" ht="12.75">
      <c r="K235" s="68"/>
      <c r="L235" s="119"/>
      <c r="M235" s="68"/>
      <c r="N235" s="68"/>
      <c r="O235" s="68"/>
      <c r="P235" s="68"/>
      <c r="Q235" s="68"/>
      <c r="R235" s="68"/>
      <c r="S235" s="53"/>
      <c r="T235" s="24"/>
      <c r="U235" s="24"/>
      <c r="V235" s="24"/>
      <c r="W235" s="24"/>
      <c r="X235" s="24"/>
      <c r="Y235" s="29"/>
      <c r="Z235" s="24"/>
      <c r="AA235" s="24"/>
      <c r="AB235" s="24"/>
      <c r="AC235" s="24"/>
      <c r="AD235" s="24"/>
      <c r="AE235" s="24"/>
      <c r="AF235" s="26"/>
      <c r="AG235" s="26"/>
      <c r="AH235" s="26"/>
      <c r="AI235" s="327" t="s">
        <v>579</v>
      </c>
      <c r="AJ235" s="328">
        <v>12.3</v>
      </c>
      <c r="AK235" s="329">
        <v>0.26</v>
      </c>
      <c r="AL235" s="330">
        <v>4.03</v>
      </c>
      <c r="AM235" s="329">
        <v>0.425</v>
      </c>
      <c r="AN235" s="329">
        <v>0.725</v>
      </c>
      <c r="AO235" s="328">
        <v>25.4</v>
      </c>
      <c r="AP235" s="328">
        <v>29.3</v>
      </c>
    </row>
    <row r="236" spans="11:42" ht="12.75">
      <c r="K236" s="68"/>
      <c r="L236" s="83"/>
      <c r="M236" s="68"/>
      <c r="N236" s="68"/>
      <c r="O236" s="68"/>
      <c r="P236" s="68"/>
      <c r="Q236" s="68"/>
      <c r="R236" s="68"/>
      <c r="S236" s="68"/>
      <c r="T236" s="24"/>
      <c r="U236" s="24"/>
      <c r="V236" s="24"/>
      <c r="W236" s="24"/>
      <c r="X236" s="24"/>
      <c r="Y236" s="29"/>
      <c r="Z236" s="24"/>
      <c r="AA236" s="24"/>
      <c r="AB236" s="24"/>
      <c r="AC236" s="24"/>
      <c r="AD236" s="24"/>
      <c r="AE236" s="24"/>
      <c r="AF236" s="26"/>
      <c r="AG236" s="26"/>
      <c r="AH236" s="26"/>
      <c r="AI236" s="327" t="s">
        <v>580</v>
      </c>
      <c r="AJ236" s="328">
        <v>12.2</v>
      </c>
      <c r="AK236" s="329">
        <v>0.235</v>
      </c>
      <c r="AL236" s="330">
        <v>4.01</v>
      </c>
      <c r="AM236" s="329">
        <v>0.35</v>
      </c>
      <c r="AN236" s="329">
        <v>0.65</v>
      </c>
      <c r="AO236" s="328">
        <v>21.3</v>
      </c>
      <c r="AP236" s="328">
        <v>24.7</v>
      </c>
    </row>
    <row r="237" spans="11:42" ht="12.75">
      <c r="K237" s="68"/>
      <c r="L237" s="83"/>
      <c r="M237" s="68"/>
      <c r="N237" s="68"/>
      <c r="O237" s="68"/>
      <c r="P237" s="68"/>
      <c r="Q237" s="68"/>
      <c r="R237" s="68"/>
      <c r="S237" s="68"/>
      <c r="T237" s="24"/>
      <c r="U237" s="24"/>
      <c r="V237" s="24"/>
      <c r="W237" s="24"/>
      <c r="X237" s="24"/>
      <c r="Y237" s="29"/>
      <c r="Z237" s="24"/>
      <c r="AA237" s="24"/>
      <c r="AB237" s="24"/>
      <c r="AC237" s="24"/>
      <c r="AD237" s="24"/>
      <c r="AE237" s="24"/>
      <c r="AF237" s="26"/>
      <c r="AG237" s="26"/>
      <c r="AH237" s="26"/>
      <c r="AI237" s="327" t="s">
        <v>581</v>
      </c>
      <c r="AJ237" s="328">
        <v>12</v>
      </c>
      <c r="AK237" s="329">
        <v>0.22</v>
      </c>
      <c r="AL237" s="330">
        <v>3.99</v>
      </c>
      <c r="AM237" s="329">
        <v>0.265</v>
      </c>
      <c r="AN237" s="329">
        <v>0.565</v>
      </c>
      <c r="AO237" s="328">
        <v>17.1</v>
      </c>
      <c r="AP237" s="328">
        <v>20.1</v>
      </c>
    </row>
    <row r="238" spans="11:42" ht="12.75">
      <c r="K238" s="68"/>
      <c r="L238" s="83"/>
      <c r="M238" s="68"/>
      <c r="N238" s="68"/>
      <c r="O238" s="68"/>
      <c r="P238" s="68"/>
      <c r="Q238" s="68"/>
      <c r="R238" s="68"/>
      <c r="S238" s="68"/>
      <c r="T238" s="24"/>
      <c r="U238" s="24"/>
      <c r="V238" s="24"/>
      <c r="W238" s="24"/>
      <c r="X238" s="24"/>
      <c r="Y238" s="29"/>
      <c r="Z238" s="24"/>
      <c r="AA238" s="24"/>
      <c r="AB238" s="24"/>
      <c r="AC238" s="24"/>
      <c r="AD238" s="24"/>
      <c r="AE238" s="24"/>
      <c r="AF238" s="26"/>
      <c r="AG238" s="26"/>
      <c r="AH238" s="26"/>
      <c r="AI238" s="327" t="s">
        <v>582</v>
      </c>
      <c r="AJ238" s="328">
        <v>11.9</v>
      </c>
      <c r="AK238" s="329">
        <v>0.2</v>
      </c>
      <c r="AL238" s="330">
        <v>3.97</v>
      </c>
      <c r="AM238" s="329">
        <v>0.225</v>
      </c>
      <c r="AN238" s="329">
        <v>0.525</v>
      </c>
      <c r="AO238" s="328">
        <v>14.9</v>
      </c>
      <c r="AP238" s="328">
        <v>17.4</v>
      </c>
    </row>
    <row r="239" spans="11:42" ht="12.75">
      <c r="K239" s="68"/>
      <c r="L239" s="68"/>
      <c r="M239" s="68"/>
      <c r="N239" s="68"/>
      <c r="O239" s="68"/>
      <c r="P239" s="68"/>
      <c r="Q239" s="68"/>
      <c r="R239" s="68"/>
      <c r="S239" s="68"/>
      <c r="T239" s="24"/>
      <c r="U239" s="24"/>
      <c r="V239" s="24"/>
      <c r="W239" s="24"/>
      <c r="X239" s="24"/>
      <c r="Y239" s="29"/>
      <c r="Z239" s="24"/>
      <c r="AA239" s="24"/>
      <c r="AB239" s="24"/>
      <c r="AC239" s="24"/>
      <c r="AD239" s="24"/>
      <c r="AE239" s="24"/>
      <c r="AF239" s="26"/>
      <c r="AG239" s="26"/>
      <c r="AH239" s="26"/>
      <c r="AI239" s="327" t="s">
        <v>583</v>
      </c>
      <c r="AJ239" s="328">
        <v>11.4</v>
      </c>
      <c r="AK239" s="329">
        <v>0.755</v>
      </c>
      <c r="AL239" s="328">
        <v>10.4</v>
      </c>
      <c r="AM239" s="330">
        <v>1.25</v>
      </c>
      <c r="AN239" s="330">
        <v>1.75</v>
      </c>
      <c r="AO239" s="331">
        <v>126</v>
      </c>
      <c r="AP239" s="331">
        <v>147</v>
      </c>
    </row>
    <row r="240" spans="11:42" ht="12.75">
      <c r="K240" s="68"/>
      <c r="L240" s="119"/>
      <c r="M240" s="68"/>
      <c r="N240" s="68"/>
      <c r="O240" s="53"/>
      <c r="P240" s="53"/>
      <c r="Q240" s="53"/>
      <c r="R240" s="53"/>
      <c r="S240" s="68"/>
      <c r="T240" s="24"/>
      <c r="U240" s="24"/>
      <c r="V240" s="24"/>
      <c r="W240" s="24"/>
      <c r="X240" s="24"/>
      <c r="Y240" s="29"/>
      <c r="Z240" s="24"/>
      <c r="AA240" s="24"/>
      <c r="AB240" s="24"/>
      <c r="AC240" s="24"/>
      <c r="AD240" s="24"/>
      <c r="AE240" s="24"/>
      <c r="AF240" s="26"/>
      <c r="AG240" s="26"/>
      <c r="AH240" s="26"/>
      <c r="AI240" s="327" t="s">
        <v>584</v>
      </c>
      <c r="AJ240" s="328">
        <v>11.1</v>
      </c>
      <c r="AK240" s="329">
        <v>0.68</v>
      </c>
      <c r="AL240" s="328">
        <v>10.3</v>
      </c>
      <c r="AM240" s="330">
        <v>1.12</v>
      </c>
      <c r="AN240" s="330">
        <v>1.62</v>
      </c>
      <c r="AO240" s="331">
        <v>112</v>
      </c>
      <c r="AP240" s="331">
        <v>130</v>
      </c>
    </row>
    <row r="241" spans="11:42" ht="12.75">
      <c r="K241" s="68"/>
      <c r="L241" s="83"/>
      <c r="M241" s="68"/>
      <c r="N241" s="68"/>
      <c r="O241" s="68"/>
      <c r="P241" s="68"/>
      <c r="Q241" s="68"/>
      <c r="R241" s="68"/>
      <c r="S241" s="68"/>
      <c r="T241" s="24"/>
      <c r="U241" s="24"/>
      <c r="V241" s="24"/>
      <c r="W241" s="24"/>
      <c r="X241" s="24"/>
      <c r="Y241" s="29"/>
      <c r="Z241" s="24"/>
      <c r="AA241" s="24"/>
      <c r="AB241" s="24"/>
      <c r="AC241" s="24"/>
      <c r="AD241" s="24"/>
      <c r="AE241" s="24"/>
      <c r="AF241" s="26"/>
      <c r="AG241" s="26"/>
      <c r="AH241" s="26"/>
      <c r="AI241" s="327" t="s">
        <v>585</v>
      </c>
      <c r="AJ241" s="328">
        <v>10.8</v>
      </c>
      <c r="AK241" s="329">
        <v>0.605</v>
      </c>
      <c r="AL241" s="328">
        <v>10.3</v>
      </c>
      <c r="AM241" s="329">
        <v>0.99</v>
      </c>
      <c r="AN241" s="330">
        <v>1.49</v>
      </c>
      <c r="AO241" s="328">
        <v>98.5</v>
      </c>
      <c r="AP241" s="331">
        <v>113</v>
      </c>
    </row>
    <row r="242" spans="11:42" ht="12.75">
      <c r="K242" s="68"/>
      <c r="L242" s="83"/>
      <c r="M242" s="68"/>
      <c r="N242" s="68"/>
      <c r="O242" s="68"/>
      <c r="P242" s="68"/>
      <c r="Q242" s="68"/>
      <c r="R242" s="68"/>
      <c r="S242" s="68"/>
      <c r="T242" s="24"/>
      <c r="U242" s="24"/>
      <c r="V242" s="24"/>
      <c r="W242" s="24"/>
      <c r="X242" s="24"/>
      <c r="Y242" s="29"/>
      <c r="Z242" s="24"/>
      <c r="AA242" s="24"/>
      <c r="AB242" s="24"/>
      <c r="AC242" s="24"/>
      <c r="AD242" s="24"/>
      <c r="AE242" s="24"/>
      <c r="AF242" s="26"/>
      <c r="AG242" s="26"/>
      <c r="AH242" s="26"/>
      <c r="AI242" s="327" t="s">
        <v>586</v>
      </c>
      <c r="AJ242" s="328">
        <v>10.6</v>
      </c>
      <c r="AK242" s="329">
        <v>0.53</v>
      </c>
      <c r="AL242" s="328">
        <v>10.2</v>
      </c>
      <c r="AM242" s="329">
        <v>0.87</v>
      </c>
      <c r="AN242" s="330">
        <v>1.37</v>
      </c>
      <c r="AO242" s="328">
        <v>85.9</v>
      </c>
      <c r="AP242" s="328">
        <v>97.6</v>
      </c>
    </row>
    <row r="243" spans="11:42" ht="12.75">
      <c r="K243" s="68"/>
      <c r="L243" s="83"/>
      <c r="M243" s="68"/>
      <c r="N243" s="68"/>
      <c r="O243" s="68"/>
      <c r="P243" s="68"/>
      <c r="Q243" s="68"/>
      <c r="R243" s="68"/>
      <c r="S243" s="68"/>
      <c r="T243" s="24"/>
      <c r="U243" s="24"/>
      <c r="V243" s="24"/>
      <c r="W243" s="24"/>
      <c r="X243" s="24"/>
      <c r="Y243" s="29"/>
      <c r="Z243" s="24"/>
      <c r="AA243" s="24"/>
      <c r="AB243" s="24"/>
      <c r="AC243" s="24"/>
      <c r="AD243" s="24"/>
      <c r="AE243" s="24"/>
      <c r="AF243" s="26"/>
      <c r="AG243" s="26"/>
      <c r="AH243" s="26"/>
      <c r="AI243" s="327" t="s">
        <v>587</v>
      </c>
      <c r="AJ243" s="328">
        <v>10.4</v>
      </c>
      <c r="AK243" s="329">
        <v>0.47</v>
      </c>
      <c r="AL243" s="328">
        <v>10.1</v>
      </c>
      <c r="AM243" s="329">
        <v>0.77</v>
      </c>
      <c r="AN243" s="330">
        <v>1.27</v>
      </c>
      <c r="AO243" s="328">
        <v>75.7</v>
      </c>
      <c r="AP243" s="328">
        <v>85.3</v>
      </c>
    </row>
    <row r="244" spans="11:42" ht="12.75">
      <c r="K244" s="68"/>
      <c r="L244" s="53"/>
      <c r="M244" s="53"/>
      <c r="N244" s="53"/>
      <c r="O244" s="53"/>
      <c r="P244" s="53"/>
      <c r="Q244" s="53"/>
      <c r="R244" s="68"/>
      <c r="S244" s="53"/>
      <c r="T244" s="24"/>
      <c r="U244" s="24"/>
      <c r="V244" s="24"/>
      <c r="W244" s="24"/>
      <c r="X244" s="24"/>
      <c r="Y244" s="29"/>
      <c r="Z244" s="24"/>
      <c r="AA244" s="24"/>
      <c r="AB244" s="24"/>
      <c r="AC244" s="24"/>
      <c r="AD244" s="24"/>
      <c r="AE244" s="24"/>
      <c r="AF244" s="26"/>
      <c r="AG244" s="26"/>
      <c r="AH244" s="26"/>
      <c r="AI244" s="327" t="s">
        <v>588</v>
      </c>
      <c r="AJ244" s="328">
        <v>10.2</v>
      </c>
      <c r="AK244" s="329">
        <v>0.42</v>
      </c>
      <c r="AL244" s="328">
        <v>10.1</v>
      </c>
      <c r="AM244" s="329">
        <v>0.68</v>
      </c>
      <c r="AN244" s="330">
        <v>1.18</v>
      </c>
      <c r="AO244" s="328">
        <v>66.7</v>
      </c>
      <c r="AP244" s="328">
        <v>74.6</v>
      </c>
    </row>
    <row r="245" spans="11:42" ht="12.75">
      <c r="K245" s="68"/>
      <c r="L245" s="83"/>
      <c r="M245" s="68"/>
      <c r="N245" s="68"/>
      <c r="O245" s="53"/>
      <c r="P245" s="53"/>
      <c r="Q245" s="53"/>
      <c r="R245" s="53"/>
      <c r="S245" s="53"/>
      <c r="T245" s="24"/>
      <c r="U245" s="24"/>
      <c r="V245" s="24"/>
      <c r="W245" s="24"/>
      <c r="X245" s="24"/>
      <c r="Y245" s="29"/>
      <c r="Z245" s="24"/>
      <c r="AA245" s="24"/>
      <c r="AB245" s="24"/>
      <c r="AC245" s="24"/>
      <c r="AD245" s="24"/>
      <c r="AE245" s="24"/>
      <c r="AF245" s="26"/>
      <c r="AG245" s="26"/>
      <c r="AH245" s="26"/>
      <c r="AI245" s="327" t="s">
        <v>589</v>
      </c>
      <c r="AJ245" s="328">
        <v>10.1</v>
      </c>
      <c r="AK245" s="329">
        <v>0.37</v>
      </c>
      <c r="AL245" s="328">
        <v>10</v>
      </c>
      <c r="AM245" s="329">
        <v>0.615</v>
      </c>
      <c r="AN245" s="330">
        <v>1.12</v>
      </c>
      <c r="AO245" s="328">
        <v>60</v>
      </c>
      <c r="AP245" s="328">
        <v>66.6</v>
      </c>
    </row>
    <row r="246" spans="11:42" ht="12.75">
      <c r="K246" s="68"/>
      <c r="L246" s="83"/>
      <c r="M246" s="68"/>
      <c r="N246" s="68"/>
      <c r="O246" s="53"/>
      <c r="P246" s="53"/>
      <c r="Q246" s="53"/>
      <c r="R246" s="53"/>
      <c r="S246" s="53"/>
      <c r="T246" s="24"/>
      <c r="U246" s="24"/>
      <c r="V246" s="24"/>
      <c r="W246" s="24"/>
      <c r="X246" s="24"/>
      <c r="Y246" s="29"/>
      <c r="Z246" s="24"/>
      <c r="AA246" s="24"/>
      <c r="AB246" s="24"/>
      <c r="AC246" s="24"/>
      <c r="AD246" s="24"/>
      <c r="AE246" s="24"/>
      <c r="AF246" s="26"/>
      <c r="AG246" s="26"/>
      <c r="AH246" s="26"/>
      <c r="AI246" s="327" t="s">
        <v>590</v>
      </c>
      <c r="AJ246" s="328">
        <v>10</v>
      </c>
      <c r="AK246" s="329">
        <v>0.34</v>
      </c>
      <c r="AL246" s="328">
        <v>10</v>
      </c>
      <c r="AM246" s="329">
        <v>0.56</v>
      </c>
      <c r="AN246" s="330">
        <v>1.06</v>
      </c>
      <c r="AO246" s="328">
        <v>54.6</v>
      </c>
      <c r="AP246" s="328">
        <v>60.4</v>
      </c>
    </row>
    <row r="247" spans="11:42" ht="12.75">
      <c r="K247" s="68"/>
      <c r="L247" s="83"/>
      <c r="M247" s="68"/>
      <c r="N247" s="68"/>
      <c r="O247" s="53"/>
      <c r="P247" s="53"/>
      <c r="Q247" s="53"/>
      <c r="R247" s="53"/>
      <c r="S247" s="53"/>
      <c r="T247" s="24"/>
      <c r="U247" s="24"/>
      <c r="V247" s="24"/>
      <c r="W247" s="24"/>
      <c r="X247" s="24"/>
      <c r="Y247" s="29"/>
      <c r="Z247" s="24"/>
      <c r="AA247" s="24"/>
      <c r="AB247" s="24"/>
      <c r="AC247" s="24"/>
      <c r="AD247" s="24"/>
      <c r="AE247" s="24"/>
      <c r="AF247" s="26"/>
      <c r="AG247" s="26"/>
      <c r="AH247" s="26"/>
      <c r="AI247" s="327" t="s">
        <v>591</v>
      </c>
      <c r="AJ247" s="328">
        <v>10.1</v>
      </c>
      <c r="AK247" s="329">
        <v>0.35</v>
      </c>
      <c r="AL247" s="330">
        <v>8.02</v>
      </c>
      <c r="AM247" s="329">
        <v>0.62</v>
      </c>
      <c r="AN247" s="330">
        <v>1.12</v>
      </c>
      <c r="AO247" s="328">
        <v>49.1</v>
      </c>
      <c r="AP247" s="328">
        <v>54.9</v>
      </c>
    </row>
    <row r="248" spans="11:42" ht="12.75">
      <c r="K248" s="68"/>
      <c r="L248" s="83"/>
      <c r="M248" s="68"/>
      <c r="N248" s="68"/>
      <c r="O248" s="53"/>
      <c r="P248" s="53"/>
      <c r="Q248" s="53"/>
      <c r="R248" s="53"/>
      <c r="S248" s="53"/>
      <c r="T248" s="24"/>
      <c r="U248" s="24"/>
      <c r="V248" s="24"/>
      <c r="W248" s="24"/>
      <c r="X248" s="24"/>
      <c r="Y248" s="29"/>
      <c r="Z248" s="24"/>
      <c r="AA248" s="24"/>
      <c r="AB248" s="24"/>
      <c r="AC248" s="24"/>
      <c r="AD248" s="24"/>
      <c r="AE248" s="24"/>
      <c r="AF248" s="26"/>
      <c r="AG248" s="26"/>
      <c r="AH248" s="26"/>
      <c r="AI248" s="327" t="s">
        <v>592</v>
      </c>
      <c r="AJ248" s="330">
        <v>9.92</v>
      </c>
      <c r="AK248" s="329">
        <v>0.315</v>
      </c>
      <c r="AL248" s="330">
        <v>7.99</v>
      </c>
      <c r="AM248" s="329">
        <v>0.53</v>
      </c>
      <c r="AN248" s="330">
        <v>1.03</v>
      </c>
      <c r="AO248" s="328">
        <v>42.1</v>
      </c>
      <c r="AP248" s="328">
        <v>46.8</v>
      </c>
    </row>
    <row r="249" spans="11:42" ht="12.75">
      <c r="K249" s="53"/>
      <c r="L249" s="53"/>
      <c r="M249" s="53"/>
      <c r="N249" s="53"/>
      <c r="O249" s="53"/>
      <c r="P249" s="53"/>
      <c r="Q249" s="53"/>
      <c r="R249" s="68"/>
      <c r="S249" s="53"/>
      <c r="T249" s="24"/>
      <c r="U249" s="24"/>
      <c r="V249" s="24"/>
      <c r="W249" s="24"/>
      <c r="X249" s="24"/>
      <c r="Y249" s="29"/>
      <c r="Z249" s="24"/>
      <c r="AA249" s="24"/>
      <c r="AB249" s="24"/>
      <c r="AC249" s="24"/>
      <c r="AD249" s="24"/>
      <c r="AE249" s="24"/>
      <c r="AF249" s="26"/>
      <c r="AG249" s="26"/>
      <c r="AH249" s="26"/>
      <c r="AI249" s="327" t="s">
        <v>593</v>
      </c>
      <c r="AJ249" s="330">
        <v>9.73</v>
      </c>
      <c r="AK249" s="329">
        <v>0.29</v>
      </c>
      <c r="AL249" s="330">
        <v>7.96</v>
      </c>
      <c r="AM249" s="329">
        <v>0.435</v>
      </c>
      <c r="AN249" s="329">
        <v>0.935</v>
      </c>
      <c r="AO249" s="328">
        <v>35</v>
      </c>
      <c r="AP249" s="328">
        <v>38.8</v>
      </c>
    </row>
    <row r="250" spans="11:42" ht="12.75">
      <c r="K250" s="53"/>
      <c r="L250" s="53"/>
      <c r="M250" s="53"/>
      <c r="N250" s="53"/>
      <c r="O250" s="53"/>
      <c r="P250" s="53"/>
      <c r="Q250" s="53"/>
      <c r="R250" s="53"/>
      <c r="S250" s="68"/>
      <c r="T250" s="24"/>
      <c r="U250" s="24"/>
      <c r="V250" s="24"/>
      <c r="W250" s="24"/>
      <c r="X250" s="24"/>
      <c r="Y250" s="29"/>
      <c r="Z250" s="24"/>
      <c r="AA250" s="24"/>
      <c r="AB250" s="24"/>
      <c r="AC250" s="24"/>
      <c r="AD250" s="24"/>
      <c r="AE250" s="24"/>
      <c r="AF250" s="26"/>
      <c r="AG250" s="26"/>
      <c r="AH250" s="26"/>
      <c r="AI250" s="327" t="s">
        <v>594</v>
      </c>
      <c r="AJ250" s="328">
        <v>10.5</v>
      </c>
      <c r="AK250" s="329">
        <v>0.3</v>
      </c>
      <c r="AL250" s="330">
        <v>5.81</v>
      </c>
      <c r="AM250" s="329">
        <v>0.51</v>
      </c>
      <c r="AN250" s="329">
        <v>0.81</v>
      </c>
      <c r="AO250" s="328">
        <v>32.4</v>
      </c>
      <c r="AP250" s="328">
        <v>36.6</v>
      </c>
    </row>
    <row r="251" spans="11:42" ht="12.75">
      <c r="K251" s="53"/>
      <c r="L251" s="53"/>
      <c r="M251" s="53"/>
      <c r="N251" s="53"/>
      <c r="O251" s="53"/>
      <c r="P251" s="53"/>
      <c r="Q251" s="53"/>
      <c r="R251" s="53"/>
      <c r="S251" s="114"/>
      <c r="T251" s="24"/>
      <c r="U251" s="24"/>
      <c r="V251" s="24"/>
      <c r="W251" s="24"/>
      <c r="X251" s="24"/>
      <c r="Y251" s="29"/>
      <c r="Z251" s="24"/>
      <c r="AA251" s="24"/>
      <c r="AB251" s="24"/>
      <c r="AC251" s="24"/>
      <c r="AD251" s="24"/>
      <c r="AE251" s="24"/>
      <c r="AF251" s="26"/>
      <c r="AG251" s="26"/>
      <c r="AH251" s="26"/>
      <c r="AI251" s="327" t="s">
        <v>595</v>
      </c>
      <c r="AJ251" s="328">
        <v>10.3</v>
      </c>
      <c r="AK251" s="329">
        <v>0.26</v>
      </c>
      <c r="AL251" s="330">
        <v>5.77</v>
      </c>
      <c r="AM251" s="329">
        <v>0.44</v>
      </c>
      <c r="AN251" s="329">
        <v>0.74</v>
      </c>
      <c r="AO251" s="328">
        <v>27.9</v>
      </c>
      <c r="AP251" s="328">
        <v>31.3</v>
      </c>
    </row>
    <row r="252" spans="11:42" ht="12.75">
      <c r="K252" s="53"/>
      <c r="L252" s="53"/>
      <c r="M252" s="53"/>
      <c r="N252" s="53"/>
      <c r="O252" s="53"/>
      <c r="P252" s="53"/>
      <c r="Q252" s="53"/>
      <c r="R252" s="53"/>
      <c r="S252" s="116"/>
      <c r="T252" s="24"/>
      <c r="U252" s="24"/>
      <c r="V252" s="24"/>
      <c r="W252" s="24"/>
      <c r="X252" s="24"/>
      <c r="Y252" s="29"/>
      <c r="Z252" s="24"/>
      <c r="AA252" s="24"/>
      <c r="AB252" s="24"/>
      <c r="AC252" s="24"/>
      <c r="AD252" s="24"/>
      <c r="AE252" s="24"/>
      <c r="AF252" s="26"/>
      <c r="AG252" s="26"/>
      <c r="AH252" s="26"/>
      <c r="AI252" s="327" t="s">
        <v>596</v>
      </c>
      <c r="AJ252" s="328">
        <v>10.2</v>
      </c>
      <c r="AK252" s="329">
        <v>0.24</v>
      </c>
      <c r="AL252" s="330">
        <v>5.75</v>
      </c>
      <c r="AM252" s="329">
        <v>0.36</v>
      </c>
      <c r="AN252" s="329">
        <v>0.66</v>
      </c>
      <c r="AO252" s="328">
        <v>23.2</v>
      </c>
      <c r="AP252" s="328">
        <v>26</v>
      </c>
    </row>
    <row r="253" spans="11:42" ht="12.75">
      <c r="K253" s="115"/>
      <c r="L253" s="53"/>
      <c r="M253" s="53"/>
      <c r="N253" s="53"/>
      <c r="O253" s="53"/>
      <c r="P253" s="53"/>
      <c r="Q253" s="53"/>
      <c r="R253" s="117"/>
      <c r="S253" s="68"/>
      <c r="T253" s="24"/>
      <c r="U253" s="24"/>
      <c r="V253" s="24"/>
      <c r="W253" s="24"/>
      <c r="X253" s="24"/>
      <c r="Y253" s="29"/>
      <c r="Z253" s="24"/>
      <c r="AA253" s="24"/>
      <c r="AB253" s="24"/>
      <c r="AC253" s="24"/>
      <c r="AD253" s="24"/>
      <c r="AE253" s="24"/>
      <c r="AF253" s="26"/>
      <c r="AG253" s="26"/>
      <c r="AH253" s="26"/>
      <c r="AI253" s="327" t="s">
        <v>597</v>
      </c>
      <c r="AJ253" s="328">
        <v>10.2</v>
      </c>
      <c r="AK253" s="329">
        <v>0.25</v>
      </c>
      <c r="AL253" s="330">
        <v>4.02</v>
      </c>
      <c r="AM253" s="329">
        <v>0.395</v>
      </c>
      <c r="AN253" s="329">
        <v>0.695</v>
      </c>
      <c r="AO253" s="328">
        <v>18.8</v>
      </c>
      <c r="AP253" s="328">
        <v>21.6</v>
      </c>
    </row>
    <row r="254" spans="11:42" ht="12.75">
      <c r="K254" s="68"/>
      <c r="L254" s="68"/>
      <c r="M254" s="53"/>
      <c r="N254" s="53"/>
      <c r="O254" s="53"/>
      <c r="P254" s="53"/>
      <c r="Q254" s="53"/>
      <c r="R254" s="53"/>
      <c r="S254" s="68"/>
      <c r="T254" s="24"/>
      <c r="U254" s="24"/>
      <c r="V254" s="24"/>
      <c r="W254" s="24"/>
      <c r="X254" s="24"/>
      <c r="Y254" s="29"/>
      <c r="Z254" s="24"/>
      <c r="AA254" s="24"/>
      <c r="AB254" s="24"/>
      <c r="AC254" s="24"/>
      <c r="AD254" s="24"/>
      <c r="AE254" s="24"/>
      <c r="AF254" s="26"/>
      <c r="AG254" s="26"/>
      <c r="AH254" s="26"/>
      <c r="AI254" s="327" t="s">
        <v>598</v>
      </c>
      <c r="AJ254" s="328">
        <v>10.1</v>
      </c>
      <c r="AK254" s="329">
        <v>0.24</v>
      </c>
      <c r="AL254" s="330">
        <v>4.01</v>
      </c>
      <c r="AM254" s="329">
        <v>0.33</v>
      </c>
      <c r="AN254" s="329">
        <v>0.63</v>
      </c>
      <c r="AO254" s="328">
        <v>16.2</v>
      </c>
      <c r="AP254" s="328">
        <v>18.7</v>
      </c>
    </row>
    <row r="255" spans="11:42" ht="12.75">
      <c r="K255" s="68"/>
      <c r="L255" s="120"/>
      <c r="M255" s="68"/>
      <c r="N255" s="68"/>
      <c r="O255" s="53"/>
      <c r="P255" s="53"/>
      <c r="Q255" s="53"/>
      <c r="R255" s="53"/>
      <c r="S255" s="53"/>
      <c r="T255" s="24"/>
      <c r="U255" s="24"/>
      <c r="V255" s="24"/>
      <c r="W255" s="24"/>
      <c r="X255" s="24"/>
      <c r="Y255" s="29"/>
      <c r="Z255" s="24"/>
      <c r="AA255" s="24"/>
      <c r="AB255" s="24"/>
      <c r="AC255" s="24"/>
      <c r="AD255" s="24"/>
      <c r="AE255" s="24"/>
      <c r="AF255" s="26"/>
      <c r="AG255" s="26"/>
      <c r="AH255" s="26"/>
      <c r="AI255" s="327" t="s">
        <v>599</v>
      </c>
      <c r="AJ255" s="328">
        <v>10</v>
      </c>
      <c r="AK255" s="329">
        <v>0.23</v>
      </c>
      <c r="AL255" s="330">
        <v>4</v>
      </c>
      <c r="AM255" s="329">
        <v>0.27</v>
      </c>
      <c r="AN255" s="329">
        <v>0.57</v>
      </c>
      <c r="AO255" s="328">
        <v>13.8</v>
      </c>
      <c r="AP255" s="328">
        <v>16</v>
      </c>
    </row>
    <row r="256" spans="11:42" ht="12.75">
      <c r="K256" s="68"/>
      <c r="L256" s="120"/>
      <c r="M256" s="68"/>
      <c r="N256" s="68"/>
      <c r="O256" s="53"/>
      <c r="P256" s="53"/>
      <c r="Q256" s="53"/>
      <c r="R256" s="68"/>
      <c r="S256" s="53"/>
      <c r="T256" s="24"/>
      <c r="U256" s="24"/>
      <c r="V256" s="24"/>
      <c r="W256" s="24"/>
      <c r="X256" s="24"/>
      <c r="Y256" s="29"/>
      <c r="Z256" s="24"/>
      <c r="AA256" s="24"/>
      <c r="AB256" s="24"/>
      <c r="AC256" s="24"/>
      <c r="AD256" s="24"/>
      <c r="AE256" s="24"/>
      <c r="AF256" s="26"/>
      <c r="AG256" s="26"/>
      <c r="AH256" s="26"/>
      <c r="AI256" s="327" t="s">
        <v>600</v>
      </c>
      <c r="AJ256" s="330">
        <v>9.87</v>
      </c>
      <c r="AK256" s="329">
        <v>0.19</v>
      </c>
      <c r="AL256" s="330">
        <v>3.96</v>
      </c>
      <c r="AM256" s="329">
        <v>0.21</v>
      </c>
      <c r="AN256" s="329">
        <v>0.51</v>
      </c>
      <c r="AO256" s="328">
        <v>10.9</v>
      </c>
      <c r="AP256" s="328">
        <v>12.6</v>
      </c>
    </row>
    <row r="257" spans="11:42" ht="12.75">
      <c r="K257" s="53"/>
      <c r="L257" s="53"/>
      <c r="M257" s="53"/>
      <c r="N257" s="53"/>
      <c r="O257" s="53"/>
      <c r="P257" s="53"/>
      <c r="Q257" s="53"/>
      <c r="R257" s="53"/>
      <c r="S257" s="53"/>
      <c r="T257" s="24"/>
      <c r="U257" s="24"/>
      <c r="V257" s="24"/>
      <c r="W257" s="24"/>
      <c r="X257" s="24"/>
      <c r="Y257" s="29"/>
      <c r="Z257" s="24"/>
      <c r="AA257" s="24"/>
      <c r="AB257" s="24"/>
      <c r="AC257" s="24"/>
      <c r="AD257" s="24"/>
      <c r="AE257" s="24"/>
      <c r="AF257" s="26"/>
      <c r="AG257" s="26"/>
      <c r="AH257" s="26"/>
      <c r="AI257" s="327" t="s">
        <v>601</v>
      </c>
      <c r="AJ257" s="330">
        <v>9</v>
      </c>
      <c r="AK257" s="329">
        <v>0.57</v>
      </c>
      <c r="AL257" s="330">
        <v>8.28</v>
      </c>
      <c r="AM257" s="329">
        <v>0.935</v>
      </c>
      <c r="AN257" s="330">
        <v>1.33</v>
      </c>
      <c r="AO257" s="328">
        <v>60.4</v>
      </c>
      <c r="AP257" s="328">
        <v>70.1</v>
      </c>
    </row>
    <row r="258" spans="11:42" ht="12.75">
      <c r="K258" s="53"/>
      <c r="L258" s="83"/>
      <c r="M258" s="53"/>
      <c r="N258" s="68"/>
      <c r="O258" s="53"/>
      <c r="P258" s="53"/>
      <c r="Q258" s="53"/>
      <c r="R258" s="53"/>
      <c r="S258" s="53"/>
      <c r="T258" s="24"/>
      <c r="U258" s="24"/>
      <c r="V258" s="24"/>
      <c r="W258" s="24"/>
      <c r="X258" s="24"/>
      <c r="Y258" s="29"/>
      <c r="Z258" s="24"/>
      <c r="AA258" s="24"/>
      <c r="AB258" s="24"/>
      <c r="AC258" s="24"/>
      <c r="AD258" s="24"/>
      <c r="AE258" s="24"/>
      <c r="AF258" s="26"/>
      <c r="AG258" s="26"/>
      <c r="AH258" s="26"/>
      <c r="AI258" s="327" t="s">
        <v>602</v>
      </c>
      <c r="AJ258" s="330">
        <v>8.75</v>
      </c>
      <c r="AK258" s="329">
        <v>0.51</v>
      </c>
      <c r="AL258" s="330">
        <v>8.22</v>
      </c>
      <c r="AM258" s="329">
        <v>0.81</v>
      </c>
      <c r="AN258" s="330">
        <v>1.2</v>
      </c>
      <c r="AO258" s="328">
        <v>52</v>
      </c>
      <c r="AP258" s="328">
        <v>59.8</v>
      </c>
    </row>
    <row r="259" spans="11:42" ht="12.75">
      <c r="K259" s="53"/>
      <c r="L259" s="84"/>
      <c r="M259" s="53"/>
      <c r="N259" s="53"/>
      <c r="O259" s="53"/>
      <c r="P259" s="53"/>
      <c r="Q259" s="53"/>
      <c r="R259" s="53"/>
      <c r="S259" s="53"/>
      <c r="T259" s="24"/>
      <c r="U259" s="24"/>
      <c r="V259" s="24"/>
      <c r="W259" s="24"/>
      <c r="X259" s="24"/>
      <c r="Y259" s="29"/>
      <c r="Z259" s="24"/>
      <c r="AA259" s="24"/>
      <c r="AB259" s="24"/>
      <c r="AC259" s="24"/>
      <c r="AD259" s="24"/>
      <c r="AE259" s="24"/>
      <c r="AF259" s="26"/>
      <c r="AG259" s="26"/>
      <c r="AH259" s="26"/>
      <c r="AI259" s="327" t="s">
        <v>603</v>
      </c>
      <c r="AJ259" s="330">
        <v>8.5</v>
      </c>
      <c r="AK259" s="329">
        <v>0.4</v>
      </c>
      <c r="AL259" s="330">
        <v>8.11</v>
      </c>
      <c r="AM259" s="329">
        <v>0.685</v>
      </c>
      <c r="AN259" s="330">
        <v>1.08</v>
      </c>
      <c r="AO259" s="328">
        <v>43.2</v>
      </c>
      <c r="AP259" s="328">
        <v>49</v>
      </c>
    </row>
    <row r="260" spans="11:42" ht="12.75">
      <c r="K260" s="113"/>
      <c r="L260" s="84"/>
      <c r="M260" s="53"/>
      <c r="N260" s="113"/>
      <c r="O260" s="53"/>
      <c r="P260" s="53"/>
      <c r="Q260" s="53"/>
      <c r="R260" s="68"/>
      <c r="S260" s="53"/>
      <c r="T260" s="24"/>
      <c r="U260" s="24"/>
      <c r="V260" s="24"/>
      <c r="W260" s="24"/>
      <c r="X260" s="24"/>
      <c r="Y260" s="29"/>
      <c r="Z260" s="24"/>
      <c r="AA260" s="24"/>
      <c r="AB260" s="24"/>
      <c r="AC260" s="24"/>
      <c r="AD260" s="24"/>
      <c r="AE260" s="24"/>
      <c r="AF260" s="26"/>
      <c r="AG260" s="26"/>
      <c r="AH260" s="26"/>
      <c r="AI260" s="327" t="s">
        <v>604</v>
      </c>
      <c r="AJ260" s="330">
        <v>8.25</v>
      </c>
      <c r="AK260" s="329">
        <v>0.36</v>
      </c>
      <c r="AL260" s="330">
        <v>8.07</v>
      </c>
      <c r="AM260" s="329">
        <v>0.56</v>
      </c>
      <c r="AN260" s="329">
        <v>0.954</v>
      </c>
      <c r="AO260" s="328">
        <v>35.5</v>
      </c>
      <c r="AP260" s="328">
        <v>39.8</v>
      </c>
    </row>
    <row r="261" spans="11:42" ht="12.75">
      <c r="K261" s="113"/>
      <c r="L261" s="84"/>
      <c r="M261" s="53"/>
      <c r="N261" s="113"/>
      <c r="O261" s="53"/>
      <c r="P261" s="53"/>
      <c r="Q261" s="53"/>
      <c r="R261" s="53"/>
      <c r="S261" s="53"/>
      <c r="T261" s="24"/>
      <c r="U261" s="24"/>
      <c r="V261" s="24"/>
      <c r="W261" s="24"/>
      <c r="X261" s="24"/>
      <c r="Y261" s="29"/>
      <c r="Z261" s="24"/>
      <c r="AA261" s="24"/>
      <c r="AB261" s="24"/>
      <c r="AC261" s="24"/>
      <c r="AD261" s="24"/>
      <c r="AE261" s="24"/>
      <c r="AF261" s="26"/>
      <c r="AG261" s="26"/>
      <c r="AH261" s="26"/>
      <c r="AI261" s="327" t="s">
        <v>605</v>
      </c>
      <c r="AJ261" s="330">
        <v>8.12</v>
      </c>
      <c r="AK261" s="329">
        <v>0.31</v>
      </c>
      <c r="AL261" s="330">
        <v>8.02</v>
      </c>
      <c r="AM261" s="329">
        <v>0.495</v>
      </c>
      <c r="AN261" s="329">
        <v>0.889</v>
      </c>
      <c r="AO261" s="328">
        <v>31.2</v>
      </c>
      <c r="AP261" s="328">
        <v>34.7</v>
      </c>
    </row>
    <row r="262" spans="11:42" ht="12.75">
      <c r="K262" s="53"/>
      <c r="L262" s="53"/>
      <c r="M262" s="53"/>
      <c r="N262" s="53"/>
      <c r="O262" s="53"/>
      <c r="P262" s="53"/>
      <c r="Q262" s="68"/>
      <c r="R262" s="53"/>
      <c r="S262" s="53"/>
      <c r="T262" s="24"/>
      <c r="U262" s="24"/>
      <c r="V262" s="24"/>
      <c r="W262" s="24"/>
      <c r="X262" s="24"/>
      <c r="Y262" s="29"/>
      <c r="Z262" s="24"/>
      <c r="AA262" s="24"/>
      <c r="AB262" s="24"/>
      <c r="AC262" s="24"/>
      <c r="AD262" s="24"/>
      <c r="AE262" s="24"/>
      <c r="AF262" s="26"/>
      <c r="AG262" s="26"/>
      <c r="AH262" s="26"/>
      <c r="AI262" s="327" t="s">
        <v>606</v>
      </c>
      <c r="AJ262" s="330">
        <v>8</v>
      </c>
      <c r="AK262" s="329">
        <v>0.285</v>
      </c>
      <c r="AL262" s="330">
        <v>8</v>
      </c>
      <c r="AM262" s="329">
        <v>0.435</v>
      </c>
      <c r="AN262" s="329">
        <v>0.829</v>
      </c>
      <c r="AO262" s="328">
        <v>27.5</v>
      </c>
      <c r="AP262" s="328">
        <v>30.4</v>
      </c>
    </row>
    <row r="263" spans="11:42" ht="12.75">
      <c r="K263" s="68"/>
      <c r="L263" s="53"/>
      <c r="M263" s="53"/>
      <c r="N263" s="53"/>
      <c r="O263" s="53"/>
      <c r="P263" s="68"/>
      <c r="Q263" s="53"/>
      <c r="R263" s="53"/>
      <c r="S263" s="53"/>
      <c r="T263" s="24"/>
      <c r="U263" s="24"/>
      <c r="V263" s="24"/>
      <c r="W263" s="24"/>
      <c r="X263" s="24"/>
      <c r="Y263" s="29"/>
      <c r="Z263" s="24"/>
      <c r="AA263" s="24"/>
      <c r="AB263" s="24"/>
      <c r="AC263" s="24"/>
      <c r="AD263" s="24"/>
      <c r="AE263" s="24"/>
      <c r="AF263" s="26"/>
      <c r="AG263" s="26"/>
      <c r="AH263" s="26"/>
      <c r="AI263" s="327" t="s">
        <v>607</v>
      </c>
      <c r="AJ263" s="330">
        <v>8.06</v>
      </c>
      <c r="AK263" s="329">
        <v>0.285</v>
      </c>
      <c r="AL263" s="330">
        <v>6.54</v>
      </c>
      <c r="AM263" s="329">
        <v>0.465</v>
      </c>
      <c r="AN263" s="329">
        <v>0.859</v>
      </c>
      <c r="AO263" s="328">
        <v>24.3</v>
      </c>
      <c r="AP263" s="328">
        <v>27.2</v>
      </c>
    </row>
    <row r="264" spans="11:42" ht="12.75">
      <c r="K264" s="53"/>
      <c r="L264" s="84"/>
      <c r="M264" s="53"/>
      <c r="N264" s="53"/>
      <c r="O264" s="53"/>
      <c r="P264" s="53"/>
      <c r="Q264" s="53"/>
      <c r="R264" s="53"/>
      <c r="S264" s="53"/>
      <c r="T264" s="24"/>
      <c r="U264" s="24"/>
      <c r="V264" s="24"/>
      <c r="W264" s="24"/>
      <c r="X264" s="24"/>
      <c r="Y264" s="29"/>
      <c r="Z264" s="24"/>
      <c r="AA264" s="24"/>
      <c r="AB264" s="24"/>
      <c r="AC264" s="24"/>
      <c r="AD264" s="24"/>
      <c r="AE264" s="24"/>
      <c r="AF264" s="26"/>
      <c r="AG264" s="26"/>
      <c r="AH264" s="26"/>
      <c r="AI264" s="327" t="s">
        <v>608</v>
      </c>
      <c r="AJ264" s="330">
        <v>7.93</v>
      </c>
      <c r="AK264" s="329">
        <v>0.245</v>
      </c>
      <c r="AL264" s="330">
        <v>6.5</v>
      </c>
      <c r="AM264" s="329">
        <v>0.4</v>
      </c>
      <c r="AN264" s="329">
        <v>0.794</v>
      </c>
      <c r="AO264" s="328">
        <v>20.9</v>
      </c>
      <c r="AP264" s="328">
        <v>23.1</v>
      </c>
    </row>
    <row r="265" spans="11:42" ht="12.75">
      <c r="K265" s="53"/>
      <c r="L265" s="83"/>
      <c r="M265" s="53"/>
      <c r="N265" s="53"/>
      <c r="O265" s="53"/>
      <c r="P265" s="53"/>
      <c r="Q265" s="53"/>
      <c r="R265" s="53"/>
      <c r="S265" s="53"/>
      <c r="T265" s="24"/>
      <c r="U265" s="24"/>
      <c r="V265" s="24"/>
      <c r="W265" s="24"/>
      <c r="X265" s="24"/>
      <c r="Y265" s="29"/>
      <c r="Z265" s="24"/>
      <c r="AA265" s="24"/>
      <c r="AB265" s="24"/>
      <c r="AC265" s="24"/>
      <c r="AD265" s="24"/>
      <c r="AE265" s="24"/>
      <c r="AF265" s="26"/>
      <c r="AG265" s="26"/>
      <c r="AH265" s="26"/>
      <c r="AI265" s="327" t="s">
        <v>609</v>
      </c>
      <c r="AJ265" s="330">
        <v>8.28</v>
      </c>
      <c r="AK265" s="329">
        <v>0.25</v>
      </c>
      <c r="AL265" s="330">
        <v>5.27</v>
      </c>
      <c r="AM265" s="329">
        <v>0.4</v>
      </c>
      <c r="AN265" s="329">
        <v>0.7</v>
      </c>
      <c r="AO265" s="328">
        <v>18.2</v>
      </c>
      <c r="AP265" s="328">
        <v>20.4</v>
      </c>
    </row>
    <row r="266" spans="11:42" ht="12.75">
      <c r="K266" s="53"/>
      <c r="L266" s="84"/>
      <c r="M266" s="53"/>
      <c r="N266" s="53"/>
      <c r="O266" s="53"/>
      <c r="P266" s="53"/>
      <c r="Q266" s="53"/>
      <c r="R266" s="53"/>
      <c r="S266" s="53"/>
      <c r="T266" s="24"/>
      <c r="U266" s="24"/>
      <c r="V266" s="24"/>
      <c r="W266" s="24"/>
      <c r="X266" s="24"/>
      <c r="Y266" s="29"/>
      <c r="Z266" s="24"/>
      <c r="AA266" s="24"/>
      <c r="AB266" s="24"/>
      <c r="AC266" s="24"/>
      <c r="AD266" s="24"/>
      <c r="AE266" s="24"/>
      <c r="AF266" s="26"/>
      <c r="AG266" s="26"/>
      <c r="AH266" s="26"/>
      <c r="AI266" s="327" t="s">
        <v>610</v>
      </c>
      <c r="AJ266" s="330">
        <v>8.14</v>
      </c>
      <c r="AK266" s="329">
        <v>0.23</v>
      </c>
      <c r="AL266" s="330">
        <v>5.25</v>
      </c>
      <c r="AM266" s="329">
        <v>0.33</v>
      </c>
      <c r="AN266" s="329">
        <v>0.63</v>
      </c>
      <c r="AO266" s="328">
        <v>15.2</v>
      </c>
      <c r="AP266" s="328">
        <v>17</v>
      </c>
    </row>
    <row r="267" spans="11:42" ht="12.75">
      <c r="K267" s="113"/>
      <c r="L267" s="84"/>
      <c r="M267" s="53"/>
      <c r="N267" s="113"/>
      <c r="O267" s="53"/>
      <c r="P267" s="53"/>
      <c r="Q267" s="53"/>
      <c r="R267" s="68"/>
      <c r="S267" s="53"/>
      <c r="T267" s="24"/>
      <c r="U267" s="24"/>
      <c r="V267" s="24"/>
      <c r="W267" s="24"/>
      <c r="X267" s="24"/>
      <c r="Y267" s="29"/>
      <c r="Z267" s="24"/>
      <c r="AA267" s="24"/>
      <c r="AB267" s="24"/>
      <c r="AC267" s="24"/>
      <c r="AD267" s="24"/>
      <c r="AE267" s="24"/>
      <c r="AF267" s="26"/>
      <c r="AG267" s="26"/>
      <c r="AH267" s="26"/>
      <c r="AI267" s="327" t="s">
        <v>611</v>
      </c>
      <c r="AJ267" s="330">
        <v>8.11</v>
      </c>
      <c r="AK267" s="329">
        <v>0.245</v>
      </c>
      <c r="AL267" s="330">
        <v>4.01</v>
      </c>
      <c r="AM267" s="329">
        <v>0.315</v>
      </c>
      <c r="AN267" s="329">
        <v>0.615</v>
      </c>
      <c r="AO267" s="328">
        <v>11.8</v>
      </c>
      <c r="AP267" s="328">
        <v>13.6</v>
      </c>
    </row>
    <row r="268" spans="11:42" ht="12.75">
      <c r="K268" s="113"/>
      <c r="L268" s="84"/>
      <c r="M268" s="53"/>
      <c r="N268" s="113"/>
      <c r="O268" s="53"/>
      <c r="P268" s="53"/>
      <c r="Q268" s="53"/>
      <c r="R268" s="53"/>
      <c r="S268" s="53"/>
      <c r="T268" s="24"/>
      <c r="U268" s="24"/>
      <c r="V268" s="24"/>
      <c r="W268" s="24"/>
      <c r="X268" s="24"/>
      <c r="Y268" s="29"/>
      <c r="Z268" s="24"/>
      <c r="AA268" s="24"/>
      <c r="AB268" s="24"/>
      <c r="AC268" s="24"/>
      <c r="AD268" s="24"/>
      <c r="AE268" s="24"/>
      <c r="AF268" s="26"/>
      <c r="AG268" s="26"/>
      <c r="AH268" s="26"/>
      <c r="AI268" s="327" t="s">
        <v>612</v>
      </c>
      <c r="AJ268" s="330">
        <v>7.99</v>
      </c>
      <c r="AK268" s="329">
        <v>0.23</v>
      </c>
      <c r="AL268" s="330">
        <v>4</v>
      </c>
      <c r="AM268" s="329">
        <v>0.255</v>
      </c>
      <c r="AN268" s="329">
        <v>0.555</v>
      </c>
      <c r="AO268" s="330">
        <v>9.91</v>
      </c>
      <c r="AP268" s="328">
        <v>11.4</v>
      </c>
    </row>
    <row r="269" spans="11:42" ht="12.75">
      <c r="K269" s="53"/>
      <c r="L269" s="53"/>
      <c r="M269" s="53"/>
      <c r="N269" s="53"/>
      <c r="O269" s="53"/>
      <c r="P269" s="53"/>
      <c r="Q269" s="68"/>
      <c r="R269" s="53"/>
      <c r="S269" s="53"/>
      <c r="T269" s="24"/>
      <c r="U269" s="24"/>
      <c r="V269" s="24"/>
      <c r="W269" s="24"/>
      <c r="X269" s="24"/>
      <c r="Y269" s="29"/>
      <c r="Z269" s="24"/>
      <c r="AA269" s="24"/>
      <c r="AB269" s="24"/>
      <c r="AC269" s="24"/>
      <c r="AD269" s="24"/>
      <c r="AE269" s="24"/>
      <c r="AF269" s="26"/>
      <c r="AG269" s="26"/>
      <c r="AH269" s="26"/>
      <c r="AI269" s="327" t="s">
        <v>613</v>
      </c>
      <c r="AJ269" s="330">
        <v>7.89</v>
      </c>
      <c r="AK269" s="329">
        <v>0.17</v>
      </c>
      <c r="AL269" s="330">
        <v>3.94</v>
      </c>
      <c r="AM269" s="329">
        <v>0.205</v>
      </c>
      <c r="AN269" s="329">
        <v>0.505</v>
      </c>
      <c r="AO269" s="330">
        <v>7.81</v>
      </c>
      <c r="AP269" s="330">
        <v>8.87</v>
      </c>
    </row>
    <row r="270" spans="11:42" ht="12.75">
      <c r="K270" s="68"/>
      <c r="L270" s="68"/>
      <c r="M270" s="68"/>
      <c r="N270" s="68"/>
      <c r="O270" s="68"/>
      <c r="P270" s="68"/>
      <c r="Q270" s="53"/>
      <c r="R270" s="53"/>
      <c r="S270" s="53"/>
      <c r="T270" s="24"/>
      <c r="U270" s="24"/>
      <c r="V270" s="24"/>
      <c r="W270" s="24"/>
      <c r="X270" s="24"/>
      <c r="Y270" s="29"/>
      <c r="Z270" s="24"/>
      <c r="AA270" s="24"/>
      <c r="AB270" s="24"/>
      <c r="AC270" s="24"/>
      <c r="AD270" s="24"/>
      <c r="AE270" s="24"/>
      <c r="AF270" s="26"/>
      <c r="AG270" s="26"/>
      <c r="AH270" s="26"/>
      <c r="AI270" s="327" t="s">
        <v>614</v>
      </c>
      <c r="AJ270" s="330">
        <v>6.38</v>
      </c>
      <c r="AK270" s="329">
        <v>0.32</v>
      </c>
      <c r="AL270" s="330">
        <v>6.08</v>
      </c>
      <c r="AM270" s="329">
        <v>0.455</v>
      </c>
      <c r="AN270" s="329">
        <v>0.705</v>
      </c>
      <c r="AO270" s="328">
        <v>16.7</v>
      </c>
      <c r="AP270" s="328">
        <v>18.9</v>
      </c>
    </row>
    <row r="271" spans="11:42" ht="12.75">
      <c r="K271" s="68"/>
      <c r="L271" s="83"/>
      <c r="M271" s="68"/>
      <c r="N271" s="68"/>
      <c r="O271" s="68"/>
      <c r="P271" s="53"/>
      <c r="Q271" s="53"/>
      <c r="R271" s="53"/>
      <c r="S271" s="53"/>
      <c r="T271" s="24"/>
      <c r="U271" s="24"/>
      <c r="V271" s="24"/>
      <c r="W271" s="24"/>
      <c r="X271" s="24"/>
      <c r="Y271" s="29"/>
      <c r="Z271" s="24"/>
      <c r="AA271" s="24"/>
      <c r="AB271" s="24"/>
      <c r="AC271" s="24"/>
      <c r="AD271" s="24"/>
      <c r="AE271" s="24"/>
      <c r="AF271" s="26"/>
      <c r="AG271" s="26"/>
      <c r="AH271" s="26"/>
      <c r="AI271" s="327" t="s">
        <v>615</v>
      </c>
      <c r="AJ271" s="330">
        <v>6.2</v>
      </c>
      <c r="AK271" s="329">
        <v>0.26</v>
      </c>
      <c r="AL271" s="330">
        <v>6.02</v>
      </c>
      <c r="AM271" s="329">
        <v>0.365</v>
      </c>
      <c r="AN271" s="329">
        <v>0.615</v>
      </c>
      <c r="AO271" s="328">
        <v>13.4</v>
      </c>
      <c r="AP271" s="328">
        <v>15</v>
      </c>
    </row>
    <row r="272" spans="11:42" ht="12.75">
      <c r="K272" s="68"/>
      <c r="L272" s="83"/>
      <c r="M272" s="68"/>
      <c r="N272" s="68"/>
      <c r="O272" s="68"/>
      <c r="P272" s="53"/>
      <c r="Q272" s="53"/>
      <c r="R272" s="68"/>
      <c r="S272" s="53"/>
      <c r="T272" s="24"/>
      <c r="U272" s="24"/>
      <c r="V272" s="24"/>
      <c r="W272" s="24"/>
      <c r="X272" s="24"/>
      <c r="Y272" s="29"/>
      <c r="Z272" s="24"/>
      <c r="AA272" s="24"/>
      <c r="AB272" s="24"/>
      <c r="AC272" s="24"/>
      <c r="AD272" s="24"/>
      <c r="AE272" s="24"/>
      <c r="AF272" s="26"/>
      <c r="AG272" s="26"/>
      <c r="AH272" s="26"/>
      <c r="AI272" s="327" t="s">
        <v>616</v>
      </c>
      <c r="AJ272" s="330">
        <v>5.99</v>
      </c>
      <c r="AK272" s="329">
        <v>0.23</v>
      </c>
      <c r="AL272" s="330">
        <v>5.99</v>
      </c>
      <c r="AM272" s="329">
        <v>0.26</v>
      </c>
      <c r="AN272" s="329">
        <v>0.51</v>
      </c>
      <c r="AO272" s="330">
        <v>9.72</v>
      </c>
      <c r="AP272" s="328">
        <v>10.8</v>
      </c>
    </row>
    <row r="273" spans="11:42" ht="12.75">
      <c r="K273" s="53"/>
      <c r="L273" s="53"/>
      <c r="M273" s="53"/>
      <c r="N273" s="53"/>
      <c r="O273" s="53"/>
      <c r="P273" s="53"/>
      <c r="Q273" s="53"/>
      <c r="R273" s="53"/>
      <c r="S273" s="53"/>
      <c r="T273" s="24"/>
      <c r="U273" s="24"/>
      <c r="V273" s="24"/>
      <c r="W273" s="24"/>
      <c r="X273" s="24"/>
      <c r="Y273" s="29"/>
      <c r="Z273" s="24"/>
      <c r="AA273" s="24"/>
      <c r="AB273" s="24"/>
      <c r="AC273" s="24"/>
      <c r="AD273" s="24"/>
      <c r="AE273" s="24"/>
      <c r="AF273" s="26"/>
      <c r="AG273" s="26"/>
      <c r="AH273" s="26"/>
      <c r="AI273" s="327" t="s">
        <v>617</v>
      </c>
      <c r="AJ273" s="330">
        <v>6.28</v>
      </c>
      <c r="AK273" s="329">
        <v>0.26</v>
      </c>
      <c r="AL273" s="330">
        <v>4.03</v>
      </c>
      <c r="AM273" s="329">
        <v>0.405</v>
      </c>
      <c r="AN273" s="329">
        <v>0.655</v>
      </c>
      <c r="AO273" s="328">
        <v>10.2</v>
      </c>
      <c r="AP273" s="328">
        <v>11.7</v>
      </c>
    </row>
    <row r="274" spans="11:42" ht="12.75">
      <c r="K274" s="68"/>
      <c r="L274" s="68"/>
      <c r="M274" s="68"/>
      <c r="N274" s="68"/>
      <c r="O274" s="68"/>
      <c r="P274" s="53"/>
      <c r="Q274" s="53"/>
      <c r="R274" s="53"/>
      <c r="S274" s="53"/>
      <c r="T274" s="24"/>
      <c r="U274" s="24"/>
      <c r="V274" s="24"/>
      <c r="W274" s="24"/>
      <c r="X274" s="24"/>
      <c r="Y274" s="29"/>
      <c r="Z274" s="24"/>
      <c r="AA274" s="24"/>
      <c r="AB274" s="24"/>
      <c r="AC274" s="24"/>
      <c r="AD274" s="24"/>
      <c r="AE274" s="24"/>
      <c r="AF274" s="26"/>
      <c r="AG274" s="26"/>
      <c r="AH274" s="26"/>
      <c r="AI274" s="327" t="s">
        <v>618</v>
      </c>
      <c r="AJ274" s="330">
        <v>6.03</v>
      </c>
      <c r="AK274" s="329">
        <v>0.23</v>
      </c>
      <c r="AL274" s="330">
        <v>4</v>
      </c>
      <c r="AM274" s="329">
        <v>0.28</v>
      </c>
      <c r="AN274" s="329">
        <v>0.53</v>
      </c>
      <c r="AO274" s="330">
        <v>7.31</v>
      </c>
      <c r="AP274" s="330">
        <v>8.3</v>
      </c>
    </row>
    <row r="275" spans="11:42" ht="12.75">
      <c r="K275" s="68"/>
      <c r="L275" s="118"/>
      <c r="M275" s="68"/>
      <c r="N275" s="68"/>
      <c r="O275" s="68"/>
      <c r="P275" s="53"/>
      <c r="Q275" s="53"/>
      <c r="R275" s="53"/>
      <c r="S275" s="53"/>
      <c r="T275" s="24"/>
      <c r="U275" s="24"/>
      <c r="V275" s="24"/>
      <c r="W275" s="24"/>
      <c r="X275" s="24"/>
      <c r="Y275" s="29"/>
      <c r="Z275" s="24"/>
      <c r="AA275" s="24"/>
      <c r="AB275" s="24"/>
      <c r="AC275" s="24"/>
      <c r="AD275" s="24"/>
      <c r="AE275" s="24"/>
      <c r="AF275" s="26"/>
      <c r="AG275" s="26"/>
      <c r="AH275" s="26"/>
      <c r="AI275" s="327" t="s">
        <v>619</v>
      </c>
      <c r="AJ275" s="330">
        <v>5.9</v>
      </c>
      <c r="AK275" s="329">
        <v>0.17</v>
      </c>
      <c r="AL275" s="330">
        <v>3.94</v>
      </c>
      <c r="AM275" s="329">
        <v>0.215</v>
      </c>
      <c r="AN275" s="329">
        <v>0.465</v>
      </c>
      <c r="AO275" s="330">
        <v>5.56</v>
      </c>
      <c r="AP275" s="330">
        <v>6.23</v>
      </c>
    </row>
    <row r="276" spans="11:42" ht="12.75">
      <c r="K276" s="68"/>
      <c r="L276" s="83"/>
      <c r="M276" s="68"/>
      <c r="N276" s="68"/>
      <c r="O276" s="68"/>
      <c r="P276" s="53"/>
      <c r="Q276" s="53"/>
      <c r="R276" s="53"/>
      <c r="S276" s="53"/>
      <c r="T276" s="24"/>
      <c r="U276" s="24"/>
      <c r="V276" s="24"/>
      <c r="W276" s="24"/>
      <c r="X276" s="24"/>
      <c r="Y276" s="29"/>
      <c r="Z276" s="24"/>
      <c r="AA276" s="24"/>
      <c r="AB276" s="24"/>
      <c r="AC276" s="24"/>
      <c r="AD276" s="24"/>
      <c r="AE276" s="24"/>
      <c r="AF276" s="26"/>
      <c r="AG276" s="26"/>
      <c r="AH276" s="26"/>
      <c r="AI276" s="327" t="s">
        <v>620</v>
      </c>
      <c r="AJ276" s="330">
        <v>5.83</v>
      </c>
      <c r="AK276" s="329">
        <v>0.17</v>
      </c>
      <c r="AL276" s="330">
        <v>3.94</v>
      </c>
      <c r="AM276" s="329">
        <v>0.195</v>
      </c>
      <c r="AN276" s="329">
        <v>0.445</v>
      </c>
      <c r="AO276" s="330">
        <v>5.1</v>
      </c>
      <c r="AP276" s="330">
        <v>5.73</v>
      </c>
    </row>
    <row r="277" spans="11:42" ht="12.75">
      <c r="K277" s="68"/>
      <c r="L277" s="83"/>
      <c r="M277" s="68"/>
      <c r="N277" s="68"/>
      <c r="O277" s="68"/>
      <c r="P277" s="53"/>
      <c r="Q277" s="53"/>
      <c r="R277" s="53"/>
      <c r="S277" s="53"/>
      <c r="T277" s="24"/>
      <c r="U277" s="24"/>
      <c r="V277" s="24"/>
      <c r="W277" s="24"/>
      <c r="X277" s="24"/>
      <c r="Y277" s="29"/>
      <c r="Z277" s="24"/>
      <c r="AA277" s="24"/>
      <c r="AB277" s="24"/>
      <c r="AC277" s="24"/>
      <c r="AD277" s="24"/>
      <c r="AE277" s="24"/>
      <c r="AF277" s="26"/>
      <c r="AG277" s="26"/>
      <c r="AH277" s="26"/>
      <c r="AI277" s="327" t="s">
        <v>621</v>
      </c>
      <c r="AJ277" s="330">
        <v>5.15</v>
      </c>
      <c r="AK277" s="329">
        <v>0.27</v>
      </c>
      <c r="AL277" s="330">
        <v>5.03</v>
      </c>
      <c r="AM277" s="329">
        <v>0.43</v>
      </c>
      <c r="AN277" s="329">
        <v>0.73</v>
      </c>
      <c r="AO277" s="328">
        <v>10.2</v>
      </c>
      <c r="AP277" s="328">
        <v>11.6</v>
      </c>
    </row>
    <row r="278" spans="11:42" ht="12.75">
      <c r="K278" s="68"/>
      <c r="L278" s="83"/>
      <c r="M278" s="68"/>
      <c r="N278" s="68"/>
      <c r="O278" s="68"/>
      <c r="P278" s="53"/>
      <c r="Q278" s="53"/>
      <c r="R278" s="68"/>
      <c r="S278" s="53"/>
      <c r="T278" s="24"/>
      <c r="U278" s="24"/>
      <c r="V278" s="24"/>
      <c r="W278" s="24"/>
      <c r="X278" s="24"/>
      <c r="Y278" s="29"/>
      <c r="Z278" s="24"/>
      <c r="AA278" s="24"/>
      <c r="AB278" s="24"/>
      <c r="AC278" s="24"/>
      <c r="AD278" s="24"/>
      <c r="AE278" s="24"/>
      <c r="AF278" s="26"/>
      <c r="AG278" s="26"/>
      <c r="AH278" s="26"/>
      <c r="AI278" s="327" t="s">
        <v>622</v>
      </c>
      <c r="AJ278" s="330">
        <v>5.01</v>
      </c>
      <c r="AK278" s="329">
        <v>0.24</v>
      </c>
      <c r="AL278" s="330">
        <v>5</v>
      </c>
      <c r="AM278" s="329">
        <v>0.36</v>
      </c>
      <c r="AN278" s="329">
        <v>0.66</v>
      </c>
      <c r="AO278" s="330">
        <v>8.55</v>
      </c>
      <c r="AP278" s="330">
        <v>9.63</v>
      </c>
    </row>
    <row r="279" spans="11:42" ht="12.75">
      <c r="K279" s="53"/>
      <c r="L279" s="53"/>
      <c r="M279" s="53"/>
      <c r="N279" s="53"/>
      <c r="O279" s="53"/>
      <c r="P279" s="53"/>
      <c r="Q279" s="53"/>
      <c r="R279" s="53"/>
      <c r="S279" s="53"/>
      <c r="T279" s="24"/>
      <c r="U279" s="24"/>
      <c r="V279" s="24"/>
      <c r="W279" s="24"/>
      <c r="X279" s="24"/>
      <c r="Y279" s="29"/>
      <c r="Z279" s="24"/>
      <c r="AA279" s="24"/>
      <c r="AB279" s="24"/>
      <c r="AC279" s="24"/>
      <c r="AD279" s="24"/>
      <c r="AE279" s="24"/>
      <c r="AF279" s="26"/>
      <c r="AG279" s="26"/>
      <c r="AH279" s="26"/>
      <c r="AI279" s="364" t="s">
        <v>623</v>
      </c>
      <c r="AJ279" s="365">
        <v>4.16</v>
      </c>
      <c r="AK279" s="366">
        <v>0.28</v>
      </c>
      <c r="AL279" s="365">
        <v>4.06</v>
      </c>
      <c r="AM279" s="366">
        <v>0.345</v>
      </c>
      <c r="AN279" s="366">
        <v>0.595</v>
      </c>
      <c r="AO279" s="365">
        <v>5.46</v>
      </c>
      <c r="AP279" s="365">
        <v>6.28</v>
      </c>
    </row>
    <row r="280" spans="11:42" ht="12.75">
      <c r="K280" s="53"/>
      <c r="L280" s="53"/>
      <c r="M280" s="53"/>
      <c r="N280" s="53"/>
      <c r="O280" s="53"/>
      <c r="P280" s="53"/>
      <c r="Q280" s="53"/>
      <c r="R280" s="53"/>
      <c r="S280" s="53"/>
      <c r="T280" s="24"/>
      <c r="U280" s="24"/>
      <c r="V280" s="24"/>
      <c r="W280" s="24"/>
      <c r="X280" s="24"/>
      <c r="Y280" s="29"/>
      <c r="Z280" s="24"/>
      <c r="AA280" s="24"/>
      <c r="AB280" s="24"/>
      <c r="AC280" s="24"/>
      <c r="AD280" s="24"/>
      <c r="AE280" s="24"/>
      <c r="AF280" s="26"/>
      <c r="AG280" s="26"/>
      <c r="AH280" s="26"/>
      <c r="AI280" s="367" t="s">
        <v>624</v>
      </c>
      <c r="AJ280" s="368">
        <v>12.5</v>
      </c>
      <c r="AK280" s="369">
        <v>0.155</v>
      </c>
      <c r="AL280" s="370">
        <v>3.75</v>
      </c>
      <c r="AM280" s="369">
        <v>0.228</v>
      </c>
      <c r="AN280" s="369">
        <v>0.563</v>
      </c>
      <c r="AO280" s="368">
        <v>14.2</v>
      </c>
      <c r="AP280" s="368">
        <v>16.5</v>
      </c>
    </row>
    <row r="281" spans="11:42" ht="12.75">
      <c r="K281" s="121"/>
      <c r="L281" s="68"/>
      <c r="M281" s="68"/>
      <c r="N281" s="68"/>
      <c r="O281" s="68"/>
      <c r="P281" s="68"/>
      <c r="Q281" s="68"/>
      <c r="R281" s="68"/>
      <c r="S281" s="53"/>
      <c r="T281" s="24"/>
      <c r="U281" s="24"/>
      <c r="V281" s="24"/>
      <c r="W281" s="24"/>
      <c r="X281" s="24"/>
      <c r="Y281" s="29"/>
      <c r="Z281" s="24"/>
      <c r="AA281" s="24"/>
      <c r="AB281" s="24"/>
      <c r="AC281" s="24"/>
      <c r="AD281" s="24"/>
      <c r="AE281" s="24"/>
      <c r="AF281" s="26"/>
      <c r="AG281" s="26"/>
      <c r="AH281" s="26"/>
      <c r="AI281" s="327" t="s">
        <v>625</v>
      </c>
      <c r="AJ281" s="328">
        <v>12.5</v>
      </c>
      <c r="AK281" s="329">
        <v>0.155</v>
      </c>
      <c r="AL281" s="330">
        <v>3.5</v>
      </c>
      <c r="AM281" s="329">
        <v>0.211</v>
      </c>
      <c r="AN281" s="329">
        <v>0.563</v>
      </c>
      <c r="AO281" s="328">
        <v>12.8</v>
      </c>
      <c r="AP281" s="328">
        <v>15</v>
      </c>
    </row>
    <row r="282" spans="11:42" ht="12.75">
      <c r="K282" s="53"/>
      <c r="L282" s="68"/>
      <c r="M282" s="68"/>
      <c r="N282" s="68"/>
      <c r="O282" s="68"/>
      <c r="P282" s="68"/>
      <c r="Q282" s="68"/>
      <c r="R282" s="68"/>
      <c r="S282" s="53"/>
      <c r="T282" s="24"/>
      <c r="U282" s="24"/>
      <c r="V282" s="24"/>
      <c r="W282" s="24"/>
      <c r="X282" s="24"/>
      <c r="Y282" s="29"/>
      <c r="Z282" s="24"/>
      <c r="AA282" s="24"/>
      <c r="AB282" s="24"/>
      <c r="AC282" s="24"/>
      <c r="AD282" s="24"/>
      <c r="AE282" s="24"/>
      <c r="AF282" s="26"/>
      <c r="AG282" s="26"/>
      <c r="AH282" s="26"/>
      <c r="AI282" s="327" t="s">
        <v>626</v>
      </c>
      <c r="AJ282" s="328">
        <v>12</v>
      </c>
      <c r="AK282" s="329">
        <v>0.177</v>
      </c>
      <c r="AL282" s="330">
        <v>3.07</v>
      </c>
      <c r="AM282" s="329">
        <v>0.225</v>
      </c>
      <c r="AN282" s="329">
        <v>0.563</v>
      </c>
      <c r="AO282" s="328">
        <v>12</v>
      </c>
      <c r="AP282" s="328">
        <v>14.3</v>
      </c>
    </row>
    <row r="283" spans="11:42" ht="12.75">
      <c r="K283" s="53"/>
      <c r="L283" s="68"/>
      <c r="M283" s="68"/>
      <c r="N283" s="68"/>
      <c r="O283" s="68"/>
      <c r="P283" s="68"/>
      <c r="Q283" s="68"/>
      <c r="R283" s="68"/>
      <c r="S283" s="53"/>
      <c r="T283" s="24"/>
      <c r="U283" s="24"/>
      <c r="V283" s="24"/>
      <c r="W283" s="24"/>
      <c r="X283" s="24"/>
      <c r="Y283" s="29"/>
      <c r="Z283" s="24"/>
      <c r="AA283" s="24"/>
      <c r="AB283" s="24"/>
      <c r="AC283" s="24"/>
      <c r="AD283" s="24"/>
      <c r="AE283" s="24"/>
      <c r="AF283" s="26"/>
      <c r="AG283" s="26"/>
      <c r="AH283" s="26"/>
      <c r="AI283" s="327" t="s">
        <v>627</v>
      </c>
      <c r="AJ283" s="328">
        <v>12</v>
      </c>
      <c r="AK283" s="329">
        <v>0.16</v>
      </c>
      <c r="AL283" s="330">
        <v>3.07</v>
      </c>
      <c r="AM283" s="329">
        <v>0.21</v>
      </c>
      <c r="AN283" s="329">
        <v>0.563</v>
      </c>
      <c r="AO283" s="328">
        <v>11.1</v>
      </c>
      <c r="AP283" s="328">
        <v>13.2</v>
      </c>
    </row>
    <row r="284" spans="11:42" ht="12.75">
      <c r="K284" s="53"/>
      <c r="L284" s="68"/>
      <c r="M284" s="68"/>
      <c r="N284" s="68"/>
      <c r="O284" s="68"/>
      <c r="P284" s="68"/>
      <c r="Q284" s="68"/>
      <c r="R284" s="68"/>
      <c r="S284" s="53"/>
      <c r="T284" s="24"/>
      <c r="U284" s="24"/>
      <c r="V284" s="24"/>
      <c r="W284" s="24"/>
      <c r="X284" s="24"/>
      <c r="Y284" s="29"/>
      <c r="Z284" s="24"/>
      <c r="AA284" s="24"/>
      <c r="AB284" s="24"/>
      <c r="AC284" s="24"/>
      <c r="AD284" s="24"/>
      <c r="AE284" s="24"/>
      <c r="AF284" s="26"/>
      <c r="AG284" s="26"/>
      <c r="AH284" s="26"/>
      <c r="AI284" s="327" t="s">
        <v>628</v>
      </c>
      <c r="AJ284" s="328">
        <v>12</v>
      </c>
      <c r="AK284" s="329">
        <v>0.149</v>
      </c>
      <c r="AL284" s="330">
        <v>3.25</v>
      </c>
      <c r="AM284" s="329">
        <v>0.18</v>
      </c>
      <c r="AN284" s="329">
        <v>0.5</v>
      </c>
      <c r="AO284" s="328">
        <v>10.3</v>
      </c>
      <c r="AP284" s="328">
        <v>12.2</v>
      </c>
    </row>
    <row r="285" spans="11:42" ht="12.75">
      <c r="K285" s="53"/>
      <c r="L285" s="68"/>
      <c r="M285" s="68"/>
      <c r="N285" s="68"/>
      <c r="O285" s="68"/>
      <c r="P285" s="68"/>
      <c r="Q285" s="68"/>
      <c r="R285" s="68"/>
      <c r="S285" s="53"/>
      <c r="T285" s="24"/>
      <c r="U285" s="24"/>
      <c r="V285" s="24"/>
      <c r="W285" s="24"/>
      <c r="X285" s="24"/>
      <c r="Y285" s="29"/>
      <c r="Z285" s="24"/>
      <c r="AA285" s="24"/>
      <c r="AB285" s="24"/>
      <c r="AC285" s="24"/>
      <c r="AD285" s="24"/>
      <c r="AE285" s="24"/>
      <c r="AF285" s="26"/>
      <c r="AG285" s="26"/>
      <c r="AH285" s="26"/>
      <c r="AI285" s="327" t="s">
        <v>629</v>
      </c>
      <c r="AJ285" s="328">
        <v>10</v>
      </c>
      <c r="AK285" s="329">
        <v>0.157</v>
      </c>
      <c r="AL285" s="330">
        <v>2.69</v>
      </c>
      <c r="AM285" s="329">
        <v>0.206</v>
      </c>
      <c r="AN285" s="329">
        <v>0.563</v>
      </c>
      <c r="AO285" s="330">
        <v>7.79</v>
      </c>
      <c r="AP285" s="330">
        <v>9.22</v>
      </c>
    </row>
    <row r="286" spans="11:42" ht="12.75">
      <c r="K286" s="53"/>
      <c r="L286" s="68"/>
      <c r="M286" s="68"/>
      <c r="N286" s="68"/>
      <c r="O286" s="68"/>
      <c r="P286" s="68"/>
      <c r="Q286" s="68"/>
      <c r="R286" s="68"/>
      <c r="S286" s="53"/>
      <c r="T286" s="24"/>
      <c r="U286" s="24"/>
      <c r="V286" s="24"/>
      <c r="W286" s="24"/>
      <c r="X286" s="24"/>
      <c r="Y286" s="29"/>
      <c r="Z286" s="24"/>
      <c r="AA286" s="24"/>
      <c r="AB286" s="24"/>
      <c r="AC286" s="24"/>
      <c r="AD286" s="24"/>
      <c r="AE286" s="24"/>
      <c r="AF286" s="26"/>
      <c r="AG286" s="26"/>
      <c r="AH286" s="26"/>
      <c r="AI286" s="327" t="s">
        <v>630</v>
      </c>
      <c r="AJ286" s="328">
        <v>10</v>
      </c>
      <c r="AK286" s="329">
        <v>0.141</v>
      </c>
      <c r="AL286" s="330">
        <v>2.69</v>
      </c>
      <c r="AM286" s="329">
        <v>0.182</v>
      </c>
      <c r="AN286" s="329">
        <v>0.563</v>
      </c>
      <c r="AO286" s="330">
        <v>6.95</v>
      </c>
      <c r="AP286" s="330">
        <v>8.2</v>
      </c>
    </row>
    <row r="287" spans="11:42" ht="12.75">
      <c r="K287" s="53"/>
      <c r="L287" s="68"/>
      <c r="M287" s="68"/>
      <c r="N287" s="68"/>
      <c r="O287" s="68"/>
      <c r="P287" s="68"/>
      <c r="Q287" s="68"/>
      <c r="R287" s="68"/>
      <c r="S287" s="53"/>
      <c r="T287" s="24"/>
      <c r="U287" s="24"/>
      <c r="V287" s="24"/>
      <c r="W287" s="24"/>
      <c r="X287" s="24"/>
      <c r="Y287" s="29"/>
      <c r="Z287" s="24"/>
      <c r="AA287" s="24"/>
      <c r="AB287" s="24"/>
      <c r="AC287" s="24"/>
      <c r="AD287" s="24"/>
      <c r="AE287" s="24"/>
      <c r="AF287" s="26"/>
      <c r="AG287" s="26"/>
      <c r="AH287" s="26"/>
      <c r="AI287" s="327" t="s">
        <v>631</v>
      </c>
      <c r="AJ287" s="328">
        <v>10</v>
      </c>
      <c r="AK287" s="329">
        <v>0.13</v>
      </c>
      <c r="AL287" s="330">
        <v>2.69</v>
      </c>
      <c r="AM287" s="329">
        <v>0.173</v>
      </c>
      <c r="AN287" s="329">
        <v>0.438</v>
      </c>
      <c r="AO287" s="330">
        <v>6.6</v>
      </c>
      <c r="AP287" s="330">
        <v>7.77</v>
      </c>
    </row>
    <row r="288" spans="11:42" ht="12.75">
      <c r="K288" s="53"/>
      <c r="L288" s="68"/>
      <c r="M288" s="68"/>
      <c r="N288" s="68"/>
      <c r="O288" s="68"/>
      <c r="P288" s="68"/>
      <c r="Q288" s="68"/>
      <c r="R288" s="68"/>
      <c r="S288" s="53"/>
      <c r="T288" s="24"/>
      <c r="U288" s="24"/>
      <c r="V288" s="24"/>
      <c r="W288" s="24"/>
      <c r="X288" s="24"/>
      <c r="Y288" s="29"/>
      <c r="Z288" s="24"/>
      <c r="AA288" s="24"/>
      <c r="AB288" s="24"/>
      <c r="AC288" s="24"/>
      <c r="AD288" s="24"/>
      <c r="AE288" s="24"/>
      <c r="AF288" s="26"/>
      <c r="AG288" s="26"/>
      <c r="AH288" s="26"/>
      <c r="AI288" s="327" t="s">
        <v>632</v>
      </c>
      <c r="AJ288" s="330">
        <v>8</v>
      </c>
      <c r="AK288" s="329">
        <v>0.135</v>
      </c>
      <c r="AL288" s="330">
        <v>2.28</v>
      </c>
      <c r="AM288" s="329">
        <v>0.189</v>
      </c>
      <c r="AN288" s="329">
        <v>0.563</v>
      </c>
      <c r="AO288" s="330">
        <v>4.63</v>
      </c>
      <c r="AP288" s="330">
        <v>5.43</v>
      </c>
    </row>
    <row r="289" spans="11:42" ht="12.75">
      <c r="K289" s="53"/>
      <c r="L289" s="68"/>
      <c r="M289" s="68"/>
      <c r="N289" s="68"/>
      <c r="O289" s="68"/>
      <c r="P289" s="68"/>
      <c r="Q289" s="68"/>
      <c r="R289" s="68"/>
      <c r="S289" s="53"/>
      <c r="T289" s="24"/>
      <c r="U289" s="24"/>
      <c r="V289" s="24"/>
      <c r="W289" s="24"/>
      <c r="X289" s="24"/>
      <c r="Y289" s="29"/>
      <c r="Z289" s="24"/>
      <c r="AA289" s="24"/>
      <c r="AB289" s="24"/>
      <c r="AC289" s="24"/>
      <c r="AD289" s="24"/>
      <c r="AE289" s="24"/>
      <c r="AF289" s="26"/>
      <c r="AG289" s="26"/>
      <c r="AH289" s="26"/>
      <c r="AI289" s="327" t="s">
        <v>633</v>
      </c>
      <c r="AJ289" s="330">
        <v>8</v>
      </c>
      <c r="AK289" s="329">
        <v>0.129</v>
      </c>
      <c r="AL289" s="330">
        <v>2.28</v>
      </c>
      <c r="AM289" s="329">
        <v>0.177</v>
      </c>
      <c r="AN289" s="329">
        <v>0.438</v>
      </c>
      <c r="AO289" s="330">
        <v>4.39</v>
      </c>
      <c r="AP289" s="330">
        <v>5.15</v>
      </c>
    </row>
    <row r="290" spans="11:42" ht="12.75">
      <c r="K290" s="53"/>
      <c r="L290" s="68"/>
      <c r="M290" s="68"/>
      <c r="N290" s="68"/>
      <c r="O290" s="68"/>
      <c r="P290" s="68"/>
      <c r="Q290" s="68"/>
      <c r="R290" s="68"/>
      <c r="S290" s="53"/>
      <c r="T290" s="24"/>
      <c r="U290" s="24"/>
      <c r="V290" s="24"/>
      <c r="W290" s="24"/>
      <c r="X290" s="24"/>
      <c r="Y290" s="29"/>
      <c r="Z290" s="24"/>
      <c r="AA290" s="24"/>
      <c r="AB290" s="24"/>
      <c r="AC290" s="24"/>
      <c r="AD290" s="24"/>
      <c r="AE290" s="24"/>
      <c r="AF290" s="26"/>
      <c r="AG290" s="26"/>
      <c r="AH290" s="26"/>
      <c r="AI290" s="327" t="s">
        <v>634</v>
      </c>
      <c r="AJ290" s="330">
        <v>6</v>
      </c>
      <c r="AK290" s="329">
        <v>0.114</v>
      </c>
      <c r="AL290" s="330">
        <v>1.84</v>
      </c>
      <c r="AM290" s="329">
        <v>0.171</v>
      </c>
      <c r="AN290" s="329">
        <v>0.375</v>
      </c>
      <c r="AO290" s="330">
        <v>2.41</v>
      </c>
      <c r="AP290" s="330">
        <v>2.8</v>
      </c>
    </row>
    <row r="291" spans="11:42" ht="12.75">
      <c r="K291" s="53"/>
      <c r="L291" s="68"/>
      <c r="M291" s="68"/>
      <c r="N291" s="68"/>
      <c r="O291" s="68"/>
      <c r="P291" s="68"/>
      <c r="Q291" s="68"/>
      <c r="R291" s="68"/>
      <c r="S291" s="53"/>
      <c r="T291" s="24"/>
      <c r="U291" s="24"/>
      <c r="V291" s="24"/>
      <c r="W291" s="24"/>
      <c r="X291" s="24"/>
      <c r="Y291" s="29"/>
      <c r="Z291" s="24"/>
      <c r="AA291" s="24"/>
      <c r="AB291" s="24"/>
      <c r="AC291" s="24"/>
      <c r="AD291" s="24"/>
      <c r="AE291" s="24"/>
      <c r="AF291" s="26"/>
      <c r="AG291" s="26"/>
      <c r="AH291" s="26"/>
      <c r="AI291" s="327" t="s">
        <v>635</v>
      </c>
      <c r="AJ291" s="330">
        <v>5.92</v>
      </c>
      <c r="AK291" s="371">
        <v>0.098</v>
      </c>
      <c r="AL291" s="330">
        <v>2</v>
      </c>
      <c r="AM291" s="329">
        <v>0.129</v>
      </c>
      <c r="AN291" s="329">
        <v>0.313</v>
      </c>
      <c r="AO291" s="330">
        <v>2.01</v>
      </c>
      <c r="AP291" s="330">
        <v>2.33</v>
      </c>
    </row>
    <row r="292" spans="11:42" ht="12.75">
      <c r="K292" s="53"/>
      <c r="L292" s="68"/>
      <c r="M292" s="68"/>
      <c r="N292" s="68"/>
      <c r="O292" s="68"/>
      <c r="P292" s="68"/>
      <c r="Q292" s="68"/>
      <c r="R292" s="68"/>
      <c r="S292" s="53"/>
      <c r="T292" s="24"/>
      <c r="U292" s="24"/>
      <c r="V292" s="24"/>
      <c r="W292" s="24"/>
      <c r="X292" s="24"/>
      <c r="Y292" s="29"/>
      <c r="Z292" s="24"/>
      <c r="AA292" s="24"/>
      <c r="AB292" s="24"/>
      <c r="AC292" s="24"/>
      <c r="AD292" s="24"/>
      <c r="AE292" s="24"/>
      <c r="AF292" s="26"/>
      <c r="AG292" s="26"/>
      <c r="AH292" s="26"/>
      <c r="AI292" s="327" t="s">
        <v>636</v>
      </c>
      <c r="AJ292" s="330">
        <v>5</v>
      </c>
      <c r="AK292" s="329">
        <v>0.316</v>
      </c>
      <c r="AL292" s="330">
        <v>5</v>
      </c>
      <c r="AM292" s="329">
        <v>0.416</v>
      </c>
      <c r="AN292" s="329">
        <v>0.813</v>
      </c>
      <c r="AO292" s="330">
        <v>9.67</v>
      </c>
      <c r="AP292" s="328">
        <v>11.1</v>
      </c>
    </row>
    <row r="293" spans="11:42" ht="12.75">
      <c r="K293" s="53"/>
      <c r="L293" s="68"/>
      <c r="M293" s="68"/>
      <c r="N293" s="68"/>
      <c r="O293" s="68"/>
      <c r="P293" s="68"/>
      <c r="Q293" s="68"/>
      <c r="R293" s="68"/>
      <c r="S293" s="53"/>
      <c r="T293" s="24"/>
      <c r="U293" s="24"/>
      <c r="V293" s="24"/>
      <c r="W293" s="24"/>
      <c r="X293" s="24"/>
      <c r="Y293" s="29"/>
      <c r="Z293" s="24"/>
      <c r="AA293" s="24"/>
      <c r="AB293" s="24"/>
      <c r="AC293" s="24"/>
      <c r="AD293" s="24"/>
      <c r="AE293" s="24"/>
      <c r="AF293" s="26"/>
      <c r="AG293" s="26"/>
      <c r="AH293" s="26"/>
      <c r="AI293" s="327" t="s">
        <v>637</v>
      </c>
      <c r="AJ293" s="330">
        <v>3.8</v>
      </c>
      <c r="AK293" s="329">
        <v>0.13</v>
      </c>
      <c r="AL293" s="330">
        <v>3.8</v>
      </c>
      <c r="AM293" s="329">
        <v>0.16</v>
      </c>
      <c r="AN293" s="329">
        <v>0.5</v>
      </c>
      <c r="AO293" s="330">
        <v>2.48</v>
      </c>
      <c r="AP293" s="330">
        <v>2.74</v>
      </c>
    </row>
    <row r="294" spans="11:42" ht="12.75">
      <c r="K294" s="53"/>
      <c r="L294" s="68"/>
      <c r="M294" s="68"/>
      <c r="N294" s="68"/>
      <c r="O294" s="68"/>
      <c r="P294" s="68"/>
      <c r="Q294" s="68"/>
      <c r="R294" s="68"/>
      <c r="S294" s="53"/>
      <c r="T294" s="24"/>
      <c r="U294" s="24"/>
      <c r="V294" s="24"/>
      <c r="W294" s="24"/>
      <c r="X294" s="24"/>
      <c r="Y294" s="29"/>
      <c r="Z294" s="24"/>
      <c r="AA294" s="24"/>
      <c r="AB294" s="24"/>
      <c r="AC294" s="24"/>
      <c r="AD294" s="24"/>
      <c r="AE294" s="24"/>
      <c r="AF294" s="26"/>
      <c r="AG294" s="26"/>
      <c r="AH294" s="26"/>
      <c r="AI294" s="327" t="s">
        <v>638</v>
      </c>
      <c r="AJ294" s="330">
        <v>4</v>
      </c>
      <c r="AK294" s="329">
        <v>0.115</v>
      </c>
      <c r="AL294" s="330">
        <v>2.25</v>
      </c>
      <c r="AM294" s="329">
        <v>0.17</v>
      </c>
      <c r="AN294" s="329">
        <v>0.563</v>
      </c>
      <c r="AO294" s="330">
        <v>1.77</v>
      </c>
      <c r="AP294" s="330">
        <v>2</v>
      </c>
    </row>
    <row r="295" spans="11:42" ht="12.75">
      <c r="K295" s="53"/>
      <c r="L295" s="68"/>
      <c r="M295" s="68"/>
      <c r="N295" s="68"/>
      <c r="O295" s="68"/>
      <c r="P295" s="68"/>
      <c r="Q295" s="68"/>
      <c r="R295" s="68"/>
      <c r="S295" s="53"/>
      <c r="T295" s="24"/>
      <c r="U295" s="24"/>
      <c r="V295" s="24"/>
      <c r="W295" s="24"/>
      <c r="X295" s="24"/>
      <c r="Y295" s="29"/>
      <c r="Z295" s="24"/>
      <c r="AA295" s="24"/>
      <c r="AB295" s="24"/>
      <c r="AC295" s="24"/>
      <c r="AD295" s="24"/>
      <c r="AE295" s="24"/>
      <c r="AF295" s="26"/>
      <c r="AG295" s="26"/>
      <c r="AH295" s="26"/>
      <c r="AI295" s="327" t="s">
        <v>639</v>
      </c>
      <c r="AJ295" s="330">
        <v>4</v>
      </c>
      <c r="AK295" s="371">
        <v>0.092</v>
      </c>
      <c r="AL295" s="330">
        <v>2.25</v>
      </c>
      <c r="AM295" s="329">
        <v>0.13</v>
      </c>
      <c r="AN295" s="329">
        <v>0.5</v>
      </c>
      <c r="AO295" s="330">
        <v>1.43</v>
      </c>
      <c r="AP295" s="330">
        <v>1.6</v>
      </c>
    </row>
    <row r="296" spans="11:42" ht="12.75">
      <c r="K296" s="53"/>
      <c r="L296" s="68"/>
      <c r="M296" s="68"/>
      <c r="N296" s="68"/>
      <c r="O296" s="68"/>
      <c r="P296" s="68"/>
      <c r="Q296" s="68"/>
      <c r="R296" s="68"/>
      <c r="S296" s="53"/>
      <c r="T296" s="24"/>
      <c r="U296" s="24"/>
      <c r="V296" s="24"/>
      <c r="W296" s="24"/>
      <c r="X296" s="24"/>
      <c r="Y296" s="29"/>
      <c r="Z296" s="24"/>
      <c r="AA296" s="24"/>
      <c r="AB296" s="24"/>
      <c r="AC296" s="24"/>
      <c r="AD296" s="24"/>
      <c r="AE296" s="24"/>
      <c r="AF296" s="26"/>
      <c r="AG296" s="26"/>
      <c r="AH296" s="26"/>
      <c r="AI296" s="327" t="s">
        <v>640</v>
      </c>
      <c r="AJ296" s="330">
        <v>4</v>
      </c>
      <c r="AK296" s="371">
        <v>0.092</v>
      </c>
      <c r="AL296" s="330">
        <v>2.25</v>
      </c>
      <c r="AM296" s="329">
        <v>0.13</v>
      </c>
      <c r="AN296" s="329">
        <v>0.5</v>
      </c>
      <c r="AO296" s="330">
        <v>1.43</v>
      </c>
      <c r="AP296" s="330">
        <v>1.6</v>
      </c>
    </row>
    <row r="297" spans="11:42" ht="12.75">
      <c r="K297" s="53"/>
      <c r="L297" s="68"/>
      <c r="M297" s="68"/>
      <c r="N297" s="68"/>
      <c r="O297" s="68"/>
      <c r="P297" s="68"/>
      <c r="Q297" s="68"/>
      <c r="R297" s="68"/>
      <c r="S297" s="53"/>
      <c r="T297" s="24"/>
      <c r="U297" s="24"/>
      <c r="V297" s="24"/>
      <c r="W297" s="24"/>
      <c r="X297" s="24"/>
      <c r="Y297" s="29"/>
      <c r="Z297" s="24"/>
      <c r="AA297" s="24"/>
      <c r="AB297" s="24"/>
      <c r="AC297" s="24"/>
      <c r="AD297" s="24"/>
      <c r="AE297" s="24"/>
      <c r="AF297" s="26"/>
      <c r="AG297" s="26"/>
      <c r="AH297" s="26"/>
      <c r="AI297" s="364" t="s">
        <v>641</v>
      </c>
      <c r="AJ297" s="365">
        <v>3</v>
      </c>
      <c r="AK297" s="372">
        <v>0.09</v>
      </c>
      <c r="AL297" s="365">
        <v>2.25</v>
      </c>
      <c r="AM297" s="366">
        <v>0.13</v>
      </c>
      <c r="AN297" s="366">
        <v>0.5</v>
      </c>
      <c r="AO297" s="365">
        <v>1</v>
      </c>
      <c r="AP297" s="365">
        <v>1.12</v>
      </c>
    </row>
    <row r="298" spans="11:42" ht="12.75">
      <c r="K298" s="53"/>
      <c r="L298" s="68"/>
      <c r="M298" s="68"/>
      <c r="N298" s="68"/>
      <c r="O298" s="68"/>
      <c r="P298" s="68"/>
      <c r="Q298" s="68"/>
      <c r="R298" s="68"/>
      <c r="S298" s="53"/>
      <c r="T298" s="24"/>
      <c r="U298" s="24"/>
      <c r="V298" s="24"/>
      <c r="W298" s="24"/>
      <c r="X298" s="24"/>
      <c r="Y298" s="29"/>
      <c r="Z298" s="24"/>
      <c r="AA298" s="24"/>
      <c r="AB298" s="24"/>
      <c r="AC298" s="24"/>
      <c r="AD298" s="24"/>
      <c r="AE298" s="24"/>
      <c r="AF298" s="26"/>
      <c r="AG298" s="26"/>
      <c r="AH298" s="26"/>
      <c r="AI298" s="367" t="s">
        <v>642</v>
      </c>
      <c r="AJ298" s="368">
        <v>24.5</v>
      </c>
      <c r="AK298" s="369">
        <v>0.8</v>
      </c>
      <c r="AL298" s="370">
        <v>8.05</v>
      </c>
      <c r="AM298" s="370">
        <v>1.09</v>
      </c>
      <c r="AN298" s="370">
        <v>2</v>
      </c>
      <c r="AO298" s="373">
        <v>258</v>
      </c>
      <c r="AP298" s="373">
        <v>306</v>
      </c>
    </row>
    <row r="299" spans="11:42" ht="12.75">
      <c r="K299" s="122"/>
      <c r="L299" s="53"/>
      <c r="M299" s="53"/>
      <c r="N299" s="53"/>
      <c r="O299" s="53"/>
      <c r="P299" s="53"/>
      <c r="Q299" s="53"/>
      <c r="R299" s="53"/>
      <c r="S299" s="68"/>
      <c r="T299" s="24"/>
      <c r="U299" s="24"/>
      <c r="V299" s="24"/>
      <c r="W299" s="24"/>
      <c r="X299" s="24"/>
      <c r="Y299" s="29"/>
      <c r="Z299" s="24"/>
      <c r="AA299" s="24"/>
      <c r="AB299" s="24"/>
      <c r="AC299" s="24"/>
      <c r="AD299" s="24"/>
      <c r="AE299" s="24"/>
      <c r="AF299" s="26"/>
      <c r="AG299" s="26"/>
      <c r="AH299" s="26"/>
      <c r="AI299" s="327" t="s">
        <v>643</v>
      </c>
      <c r="AJ299" s="328">
        <v>24.5</v>
      </c>
      <c r="AK299" s="329">
        <v>0.62</v>
      </c>
      <c r="AL299" s="330">
        <v>7.87</v>
      </c>
      <c r="AM299" s="330">
        <v>1.09</v>
      </c>
      <c r="AN299" s="330">
        <v>2</v>
      </c>
      <c r="AO299" s="331">
        <v>240</v>
      </c>
      <c r="AP299" s="331">
        <v>279</v>
      </c>
    </row>
    <row r="300" spans="11:42" ht="12.75">
      <c r="K300" s="53"/>
      <c r="L300" s="53"/>
      <c r="M300" s="53"/>
      <c r="N300" s="53"/>
      <c r="O300" s="53"/>
      <c r="P300" s="53"/>
      <c r="Q300" s="53"/>
      <c r="R300" s="53"/>
      <c r="S300" s="53"/>
      <c r="T300" s="24"/>
      <c r="U300" s="24"/>
      <c r="V300" s="24"/>
      <c r="W300" s="24"/>
      <c r="X300" s="24"/>
      <c r="Y300" s="29"/>
      <c r="Z300" s="24"/>
      <c r="AA300" s="24"/>
      <c r="AB300" s="24"/>
      <c r="AC300" s="24"/>
      <c r="AD300" s="24"/>
      <c r="AE300" s="24"/>
      <c r="AF300" s="26"/>
      <c r="AG300" s="26"/>
      <c r="AH300" s="26"/>
      <c r="AI300" s="327" t="s">
        <v>644</v>
      </c>
      <c r="AJ300" s="328">
        <v>24</v>
      </c>
      <c r="AK300" s="329">
        <v>0.745</v>
      </c>
      <c r="AL300" s="330">
        <v>7.25</v>
      </c>
      <c r="AM300" s="329">
        <v>0.87</v>
      </c>
      <c r="AN300" s="330">
        <v>1.75</v>
      </c>
      <c r="AO300" s="331">
        <v>199</v>
      </c>
      <c r="AP300" s="331">
        <v>239</v>
      </c>
    </row>
    <row r="301" spans="20:42" ht="12.75">
      <c r="T301" s="24"/>
      <c r="U301" s="24"/>
      <c r="V301" s="24"/>
      <c r="W301" s="24"/>
      <c r="X301" s="24"/>
      <c r="Y301" s="29"/>
      <c r="Z301" s="24"/>
      <c r="AA301" s="24"/>
      <c r="AB301" s="24"/>
      <c r="AC301" s="24"/>
      <c r="AD301" s="24"/>
      <c r="AE301" s="24"/>
      <c r="AF301" s="26"/>
      <c r="AG301" s="26"/>
      <c r="AH301" s="26"/>
      <c r="AI301" s="327" t="s">
        <v>645</v>
      </c>
      <c r="AJ301" s="328">
        <v>24</v>
      </c>
      <c r="AK301" s="329">
        <v>0.625</v>
      </c>
      <c r="AL301" s="330">
        <v>7.13</v>
      </c>
      <c r="AM301" s="329">
        <v>0.87</v>
      </c>
      <c r="AN301" s="330">
        <v>1.75</v>
      </c>
      <c r="AO301" s="331">
        <v>187</v>
      </c>
      <c r="AP301" s="331">
        <v>222</v>
      </c>
    </row>
    <row r="302" spans="20:42" ht="12.75">
      <c r="T302" s="24"/>
      <c r="U302" s="24"/>
      <c r="V302" s="24"/>
      <c r="W302" s="24"/>
      <c r="X302" s="24"/>
      <c r="Y302" s="29"/>
      <c r="Z302" s="24"/>
      <c r="AA302" s="24"/>
      <c r="AB302" s="24"/>
      <c r="AC302" s="24"/>
      <c r="AD302" s="24"/>
      <c r="AE302" s="24"/>
      <c r="AF302" s="26"/>
      <c r="AG302" s="26"/>
      <c r="AH302" s="26"/>
      <c r="AI302" s="327" t="s">
        <v>646</v>
      </c>
      <c r="AJ302" s="328">
        <v>24</v>
      </c>
      <c r="AK302" s="329">
        <v>0.5</v>
      </c>
      <c r="AL302" s="330">
        <v>7</v>
      </c>
      <c r="AM302" s="329">
        <v>0.87</v>
      </c>
      <c r="AN302" s="330">
        <v>1.75</v>
      </c>
      <c r="AO302" s="331">
        <v>175</v>
      </c>
      <c r="AP302" s="331">
        <v>204</v>
      </c>
    </row>
    <row r="303" spans="20:42" ht="12.75">
      <c r="T303" s="24"/>
      <c r="U303" s="24"/>
      <c r="V303" s="24"/>
      <c r="W303" s="24"/>
      <c r="X303" s="24"/>
      <c r="Y303" s="29"/>
      <c r="Z303" s="24"/>
      <c r="AA303" s="24"/>
      <c r="AB303" s="24"/>
      <c r="AC303" s="24"/>
      <c r="AD303" s="24"/>
      <c r="AE303" s="24"/>
      <c r="AF303" s="26"/>
      <c r="AG303" s="26"/>
      <c r="AH303" s="26"/>
      <c r="AI303" s="327" t="s">
        <v>647</v>
      </c>
      <c r="AJ303" s="328">
        <v>20.3</v>
      </c>
      <c r="AK303" s="329">
        <v>0.8</v>
      </c>
      <c r="AL303" s="330">
        <v>7.2</v>
      </c>
      <c r="AM303" s="329">
        <v>0.92</v>
      </c>
      <c r="AN303" s="330">
        <v>1.75</v>
      </c>
      <c r="AO303" s="331">
        <v>165</v>
      </c>
      <c r="AP303" s="331">
        <v>198</v>
      </c>
    </row>
    <row r="304" spans="20:42" ht="12.75">
      <c r="T304" s="24"/>
      <c r="U304" s="24"/>
      <c r="V304" s="24"/>
      <c r="W304" s="24"/>
      <c r="X304" s="24"/>
      <c r="Y304" s="29"/>
      <c r="Z304" s="24"/>
      <c r="AA304" s="24"/>
      <c r="AB304" s="24"/>
      <c r="AC304" s="24"/>
      <c r="AD304" s="24"/>
      <c r="AE304" s="24"/>
      <c r="AF304" s="26"/>
      <c r="AG304" s="26"/>
      <c r="AH304" s="26"/>
      <c r="AI304" s="327" t="s">
        <v>648</v>
      </c>
      <c r="AJ304" s="328">
        <v>20.3</v>
      </c>
      <c r="AK304" s="329">
        <v>0.66</v>
      </c>
      <c r="AL304" s="330">
        <v>7.06</v>
      </c>
      <c r="AM304" s="329">
        <v>0.92</v>
      </c>
      <c r="AN304" s="330">
        <v>1.75</v>
      </c>
      <c r="AO304" s="331">
        <v>155</v>
      </c>
      <c r="AP304" s="331">
        <v>183</v>
      </c>
    </row>
    <row r="305" spans="20:42" ht="12.75">
      <c r="T305" s="24"/>
      <c r="U305" s="24"/>
      <c r="V305" s="24"/>
      <c r="W305" s="24"/>
      <c r="X305" s="24"/>
      <c r="Y305" s="29"/>
      <c r="Z305" s="24"/>
      <c r="AA305" s="24"/>
      <c r="AB305" s="24"/>
      <c r="AC305" s="24"/>
      <c r="AD305" s="24"/>
      <c r="AE305" s="24"/>
      <c r="AF305" s="26"/>
      <c r="AG305" s="26"/>
      <c r="AH305" s="26"/>
      <c r="AI305" s="327" t="s">
        <v>649</v>
      </c>
      <c r="AJ305" s="328">
        <v>20</v>
      </c>
      <c r="AK305" s="329">
        <v>0.635</v>
      </c>
      <c r="AL305" s="330">
        <v>6.39</v>
      </c>
      <c r="AM305" s="329">
        <v>0.795</v>
      </c>
      <c r="AN305" s="330">
        <v>1.63</v>
      </c>
      <c r="AO305" s="331">
        <v>128</v>
      </c>
      <c r="AP305" s="331">
        <v>152</v>
      </c>
    </row>
    <row r="306" spans="20:42" ht="12.75">
      <c r="T306" s="24"/>
      <c r="U306" s="24"/>
      <c r="V306" s="24"/>
      <c r="W306" s="24"/>
      <c r="X306" s="24"/>
      <c r="Y306" s="29"/>
      <c r="Z306" s="24"/>
      <c r="AA306" s="24"/>
      <c r="AB306" s="24"/>
      <c r="AC306" s="24"/>
      <c r="AD306" s="24"/>
      <c r="AE306" s="24"/>
      <c r="AF306" s="26"/>
      <c r="AG306" s="26"/>
      <c r="AH306" s="26"/>
      <c r="AI306" s="327" t="s">
        <v>650</v>
      </c>
      <c r="AJ306" s="328">
        <v>20</v>
      </c>
      <c r="AK306" s="329">
        <v>0.505</v>
      </c>
      <c r="AL306" s="330">
        <v>6.26</v>
      </c>
      <c r="AM306" s="329">
        <v>0.795</v>
      </c>
      <c r="AN306" s="330">
        <v>1.63</v>
      </c>
      <c r="AO306" s="331">
        <v>119</v>
      </c>
      <c r="AP306" s="331">
        <v>139</v>
      </c>
    </row>
    <row r="307" spans="20:42" ht="12.75">
      <c r="T307" s="24"/>
      <c r="U307" s="24"/>
      <c r="V307" s="24"/>
      <c r="W307" s="24"/>
      <c r="X307" s="24"/>
      <c r="Y307" s="29"/>
      <c r="Z307" s="24"/>
      <c r="AA307" s="24"/>
      <c r="AB307" s="24"/>
      <c r="AC307" s="24"/>
      <c r="AD307" s="24"/>
      <c r="AE307" s="24"/>
      <c r="AF307" s="26"/>
      <c r="AG307" s="26"/>
      <c r="AH307" s="26"/>
      <c r="AI307" s="327" t="s">
        <v>651</v>
      </c>
      <c r="AJ307" s="328">
        <v>18</v>
      </c>
      <c r="AK307" s="329">
        <v>0.711</v>
      </c>
      <c r="AL307" s="330">
        <v>6.25</v>
      </c>
      <c r="AM307" s="329">
        <v>0.691</v>
      </c>
      <c r="AN307" s="330">
        <v>1.5</v>
      </c>
      <c r="AO307" s="331">
        <v>103</v>
      </c>
      <c r="AP307" s="331">
        <v>124</v>
      </c>
    </row>
    <row r="308" spans="20:42" ht="12.75">
      <c r="T308" s="24"/>
      <c r="U308" s="24"/>
      <c r="V308" s="24"/>
      <c r="W308" s="24"/>
      <c r="X308" s="24"/>
      <c r="Y308" s="29"/>
      <c r="Z308" s="24"/>
      <c r="AA308" s="24"/>
      <c r="AB308" s="24"/>
      <c r="AC308" s="24"/>
      <c r="AD308" s="24"/>
      <c r="AE308" s="24"/>
      <c r="AF308" s="26"/>
      <c r="AG308" s="26"/>
      <c r="AH308" s="26"/>
      <c r="AI308" s="327" t="s">
        <v>652</v>
      </c>
      <c r="AJ308" s="328">
        <v>18</v>
      </c>
      <c r="AK308" s="329">
        <v>0.461</v>
      </c>
      <c r="AL308" s="330">
        <v>6</v>
      </c>
      <c r="AM308" s="329">
        <v>0.691</v>
      </c>
      <c r="AN308" s="330">
        <v>1.5</v>
      </c>
      <c r="AO308" s="328">
        <v>89</v>
      </c>
      <c r="AP308" s="331">
        <v>104</v>
      </c>
    </row>
    <row r="309" spans="20:42" ht="12.75">
      <c r="T309" s="24"/>
      <c r="U309" s="24"/>
      <c r="V309" s="24"/>
      <c r="W309" s="24"/>
      <c r="X309" s="24"/>
      <c r="Y309" s="29"/>
      <c r="Z309" s="24"/>
      <c r="AA309" s="24"/>
      <c r="AB309" s="24"/>
      <c r="AC309" s="24"/>
      <c r="AD309" s="24"/>
      <c r="AE309" s="24"/>
      <c r="AF309" s="26"/>
      <c r="AG309" s="26"/>
      <c r="AH309" s="26"/>
      <c r="AI309" s="327" t="s">
        <v>653</v>
      </c>
      <c r="AJ309" s="328">
        <v>15</v>
      </c>
      <c r="AK309" s="329">
        <v>0.55</v>
      </c>
      <c r="AL309" s="330">
        <v>5.64</v>
      </c>
      <c r="AM309" s="329">
        <v>0.622</v>
      </c>
      <c r="AN309" s="330">
        <v>1.38</v>
      </c>
      <c r="AO309" s="328">
        <v>64.7</v>
      </c>
      <c r="AP309" s="328">
        <v>77</v>
      </c>
    </row>
    <row r="310" spans="20:42" ht="12.75">
      <c r="T310" s="24"/>
      <c r="U310" s="24"/>
      <c r="V310" s="24"/>
      <c r="W310" s="24"/>
      <c r="X310" s="24"/>
      <c r="Y310" s="29"/>
      <c r="Z310" s="24"/>
      <c r="AA310" s="24"/>
      <c r="AB310" s="24"/>
      <c r="AC310" s="24"/>
      <c r="AD310" s="24"/>
      <c r="AE310" s="24"/>
      <c r="AF310" s="26"/>
      <c r="AG310" s="26"/>
      <c r="AH310" s="26"/>
      <c r="AI310" s="327" t="s">
        <v>654</v>
      </c>
      <c r="AJ310" s="328">
        <v>15</v>
      </c>
      <c r="AK310" s="329">
        <v>0.411</v>
      </c>
      <c r="AL310" s="330">
        <v>5.5</v>
      </c>
      <c r="AM310" s="329">
        <v>0.622</v>
      </c>
      <c r="AN310" s="330">
        <v>1.38</v>
      </c>
      <c r="AO310" s="328">
        <v>59.4</v>
      </c>
      <c r="AP310" s="328">
        <v>69.2</v>
      </c>
    </row>
    <row r="311" spans="20:42" ht="12.75">
      <c r="T311" s="24"/>
      <c r="U311" s="24"/>
      <c r="V311" s="24"/>
      <c r="W311" s="24"/>
      <c r="X311" s="24"/>
      <c r="Y311" s="29"/>
      <c r="Z311" s="24"/>
      <c r="AA311" s="24"/>
      <c r="AB311" s="24"/>
      <c r="AC311" s="24"/>
      <c r="AD311" s="24"/>
      <c r="AE311" s="24"/>
      <c r="AF311" s="26"/>
      <c r="AG311" s="26"/>
      <c r="AH311" s="26"/>
      <c r="AI311" s="327" t="s">
        <v>655</v>
      </c>
      <c r="AJ311" s="328">
        <v>12</v>
      </c>
      <c r="AK311" s="329">
        <v>0.687</v>
      </c>
      <c r="AL311" s="330">
        <v>5.48</v>
      </c>
      <c r="AM311" s="329">
        <v>0.659</v>
      </c>
      <c r="AN311" s="330">
        <v>1.44</v>
      </c>
      <c r="AO311" s="328">
        <v>50.6</v>
      </c>
      <c r="AP311" s="328">
        <v>60.9</v>
      </c>
    </row>
    <row r="312" spans="20:42" ht="12.75">
      <c r="T312" s="24"/>
      <c r="U312" s="24"/>
      <c r="V312" s="24"/>
      <c r="W312" s="24"/>
      <c r="X312" s="24"/>
      <c r="Y312" s="29"/>
      <c r="Z312" s="24"/>
      <c r="AA312" s="24"/>
      <c r="AB312" s="24"/>
      <c r="AC312" s="24"/>
      <c r="AD312" s="24"/>
      <c r="AE312" s="24"/>
      <c r="AF312" s="26"/>
      <c r="AG312" s="26"/>
      <c r="AH312" s="26"/>
      <c r="AI312" s="327" t="s">
        <v>656</v>
      </c>
      <c r="AJ312" s="328">
        <v>12</v>
      </c>
      <c r="AK312" s="329">
        <v>0.462</v>
      </c>
      <c r="AL312" s="330">
        <v>5.25</v>
      </c>
      <c r="AM312" s="329">
        <v>0.659</v>
      </c>
      <c r="AN312" s="330">
        <v>1.44</v>
      </c>
      <c r="AO312" s="328">
        <v>45.1</v>
      </c>
      <c r="AP312" s="328">
        <v>52.7</v>
      </c>
    </row>
    <row r="313" spans="20:42" ht="12.75">
      <c r="T313" s="24"/>
      <c r="U313" s="24"/>
      <c r="V313" s="24"/>
      <c r="W313" s="24"/>
      <c r="X313" s="24"/>
      <c r="Y313" s="29"/>
      <c r="Z313" s="24"/>
      <c r="AA313" s="24"/>
      <c r="AB313" s="24"/>
      <c r="AC313" s="24"/>
      <c r="AD313" s="24"/>
      <c r="AE313" s="24"/>
      <c r="AF313" s="26"/>
      <c r="AG313" s="26"/>
      <c r="AH313" s="26"/>
      <c r="AI313" s="327" t="s">
        <v>657</v>
      </c>
      <c r="AJ313" s="328">
        <v>12</v>
      </c>
      <c r="AK313" s="329">
        <v>0.428</v>
      </c>
      <c r="AL313" s="330">
        <v>5.08</v>
      </c>
      <c r="AM313" s="329">
        <v>0.544</v>
      </c>
      <c r="AN313" s="330">
        <v>1.19</v>
      </c>
      <c r="AO313" s="328">
        <v>38.1</v>
      </c>
      <c r="AP313" s="328">
        <v>44.6</v>
      </c>
    </row>
    <row r="314" spans="20:42" ht="12.75">
      <c r="T314" s="24"/>
      <c r="U314" s="24"/>
      <c r="V314" s="24"/>
      <c r="W314" s="24"/>
      <c r="X314" s="24"/>
      <c r="Y314" s="29"/>
      <c r="Z314" s="24"/>
      <c r="AA314" s="24"/>
      <c r="AB314" s="24"/>
      <c r="AC314" s="24"/>
      <c r="AD314" s="24"/>
      <c r="AE314" s="24"/>
      <c r="AF314" s="26"/>
      <c r="AG314" s="26"/>
      <c r="AH314" s="26"/>
      <c r="AI314" s="327" t="s">
        <v>658</v>
      </c>
      <c r="AJ314" s="328">
        <v>12</v>
      </c>
      <c r="AK314" s="329">
        <v>0.35</v>
      </c>
      <c r="AL314" s="330">
        <v>5</v>
      </c>
      <c r="AM314" s="329">
        <v>0.544</v>
      </c>
      <c r="AN314" s="330">
        <v>1.19</v>
      </c>
      <c r="AO314" s="328">
        <v>36.2</v>
      </c>
      <c r="AP314" s="328">
        <v>41.8</v>
      </c>
    </row>
    <row r="315" spans="20:42" ht="12.75">
      <c r="T315" s="24"/>
      <c r="U315" s="24"/>
      <c r="V315" s="24"/>
      <c r="W315" s="24"/>
      <c r="X315" s="24"/>
      <c r="Y315" s="29"/>
      <c r="Z315" s="24"/>
      <c r="AA315" s="24"/>
      <c r="AB315" s="24"/>
      <c r="AC315" s="24"/>
      <c r="AD315" s="24"/>
      <c r="AE315" s="24"/>
      <c r="AF315" s="26"/>
      <c r="AG315" s="26"/>
      <c r="AH315" s="26"/>
      <c r="AI315" s="327" t="s">
        <v>659</v>
      </c>
      <c r="AJ315" s="328">
        <v>10</v>
      </c>
      <c r="AK315" s="329">
        <v>0.594</v>
      </c>
      <c r="AL315" s="330">
        <v>4.94</v>
      </c>
      <c r="AM315" s="329">
        <v>0.491</v>
      </c>
      <c r="AN315" s="330">
        <v>1.13</v>
      </c>
      <c r="AO315" s="328">
        <v>29.4</v>
      </c>
      <c r="AP315" s="328">
        <v>35.4</v>
      </c>
    </row>
    <row r="316" spans="20:42" ht="12.75">
      <c r="T316" s="24"/>
      <c r="U316" s="24"/>
      <c r="V316" s="24"/>
      <c r="W316" s="24"/>
      <c r="X316" s="24"/>
      <c r="Y316" s="29"/>
      <c r="Z316" s="24"/>
      <c r="AA316" s="24"/>
      <c r="AB316" s="24"/>
      <c r="AC316" s="24"/>
      <c r="AD316" s="24"/>
      <c r="AE316" s="24"/>
      <c r="AF316" s="26"/>
      <c r="AG316" s="26"/>
      <c r="AH316" s="26"/>
      <c r="AI316" s="327" t="s">
        <v>660</v>
      </c>
      <c r="AJ316" s="328">
        <v>10</v>
      </c>
      <c r="AK316" s="329">
        <v>0.311</v>
      </c>
      <c r="AL316" s="330">
        <v>4.66</v>
      </c>
      <c r="AM316" s="329">
        <v>0.491</v>
      </c>
      <c r="AN316" s="330">
        <v>1.13</v>
      </c>
      <c r="AO316" s="328">
        <v>24.6</v>
      </c>
      <c r="AP316" s="328">
        <v>28.3</v>
      </c>
    </row>
    <row r="317" spans="20:42" ht="12.75">
      <c r="T317" s="24"/>
      <c r="U317" s="24"/>
      <c r="V317" s="24"/>
      <c r="W317" s="24"/>
      <c r="X317" s="24"/>
      <c r="Y317" s="29"/>
      <c r="Z317" s="24"/>
      <c r="AA317" s="24"/>
      <c r="AB317" s="24"/>
      <c r="AC317" s="24"/>
      <c r="AD317" s="24"/>
      <c r="AE317" s="24"/>
      <c r="AF317" s="26"/>
      <c r="AG317" s="26"/>
      <c r="AH317" s="26"/>
      <c r="AI317" s="327" t="s">
        <v>661</v>
      </c>
      <c r="AJ317" s="330">
        <v>8</v>
      </c>
      <c r="AK317" s="329">
        <v>0.441</v>
      </c>
      <c r="AL317" s="330">
        <v>4.17</v>
      </c>
      <c r="AM317" s="329">
        <v>0.425</v>
      </c>
      <c r="AN317" s="330">
        <v>1</v>
      </c>
      <c r="AO317" s="328">
        <v>16.2</v>
      </c>
      <c r="AP317" s="328">
        <v>19.2</v>
      </c>
    </row>
    <row r="318" spans="20:42" ht="12.75">
      <c r="T318" s="24"/>
      <c r="U318" s="24"/>
      <c r="V318" s="24"/>
      <c r="W318" s="24"/>
      <c r="X318" s="24"/>
      <c r="Y318" s="29"/>
      <c r="Z318" s="24"/>
      <c r="AA318" s="24"/>
      <c r="AB318" s="24"/>
      <c r="AC318" s="24"/>
      <c r="AD318" s="24"/>
      <c r="AE318" s="24"/>
      <c r="AF318" s="26"/>
      <c r="AG318" s="26"/>
      <c r="AH318" s="26"/>
      <c r="AI318" s="327" t="s">
        <v>662</v>
      </c>
      <c r="AJ318" s="330">
        <v>8</v>
      </c>
      <c r="AK318" s="329">
        <v>0.271</v>
      </c>
      <c r="AL318" s="330">
        <v>4</v>
      </c>
      <c r="AM318" s="329">
        <v>0.425</v>
      </c>
      <c r="AN318" s="330">
        <v>1</v>
      </c>
      <c r="AO318" s="328">
        <v>14.4</v>
      </c>
      <c r="AP318" s="328">
        <v>16.5</v>
      </c>
    </row>
    <row r="319" spans="20:42" ht="12.75">
      <c r="T319" s="24"/>
      <c r="U319" s="24"/>
      <c r="V319" s="24"/>
      <c r="W319" s="24"/>
      <c r="X319" s="24"/>
      <c r="Y319" s="29"/>
      <c r="Z319" s="24"/>
      <c r="AA319" s="24"/>
      <c r="AB319" s="24"/>
      <c r="AC319" s="24"/>
      <c r="AD319" s="24"/>
      <c r="AE319" s="24"/>
      <c r="AF319" s="26"/>
      <c r="AG319" s="26"/>
      <c r="AH319" s="26"/>
      <c r="AI319" s="327" t="s">
        <v>663</v>
      </c>
      <c r="AJ319" s="330">
        <v>6</v>
      </c>
      <c r="AK319" s="329">
        <v>0.465</v>
      </c>
      <c r="AL319" s="330">
        <v>3.57</v>
      </c>
      <c r="AM319" s="329">
        <v>0.359</v>
      </c>
      <c r="AN319" s="329">
        <v>0.813</v>
      </c>
      <c r="AO319" s="330">
        <v>8.74</v>
      </c>
      <c r="AP319" s="328">
        <v>10.5</v>
      </c>
    </row>
    <row r="320" spans="20:42" ht="12.75">
      <c r="T320" s="24"/>
      <c r="U320" s="24"/>
      <c r="V320" s="24"/>
      <c r="W320" s="24"/>
      <c r="X320" s="24"/>
      <c r="Y320" s="29"/>
      <c r="Z320" s="24"/>
      <c r="AA320" s="24"/>
      <c r="AB320" s="24"/>
      <c r="AC320" s="24"/>
      <c r="AD320" s="24"/>
      <c r="AE320" s="24"/>
      <c r="AF320" s="26"/>
      <c r="AG320" s="26"/>
      <c r="AH320" s="26"/>
      <c r="AI320" s="327" t="s">
        <v>664</v>
      </c>
      <c r="AJ320" s="330">
        <v>6</v>
      </c>
      <c r="AK320" s="329">
        <v>0.232</v>
      </c>
      <c r="AL320" s="330">
        <v>3.33</v>
      </c>
      <c r="AM320" s="329">
        <v>0.359</v>
      </c>
      <c r="AN320" s="329">
        <v>0.813</v>
      </c>
      <c r="AO320" s="330">
        <v>7.34</v>
      </c>
      <c r="AP320" s="330">
        <v>8.45</v>
      </c>
    </row>
    <row r="321" spans="20:42" ht="12.75">
      <c r="T321" s="24"/>
      <c r="U321" s="24"/>
      <c r="V321" s="24"/>
      <c r="W321" s="24"/>
      <c r="X321" s="24"/>
      <c r="Y321" s="29"/>
      <c r="Z321" s="24"/>
      <c r="AA321" s="24"/>
      <c r="AB321" s="24"/>
      <c r="AC321" s="24"/>
      <c r="AD321" s="24"/>
      <c r="AE321" s="24"/>
      <c r="AF321" s="26"/>
      <c r="AG321" s="26"/>
      <c r="AH321" s="26"/>
      <c r="AI321" s="327" t="s">
        <v>665</v>
      </c>
      <c r="AJ321" s="330">
        <v>5</v>
      </c>
      <c r="AK321" s="329">
        <v>0.214</v>
      </c>
      <c r="AL321" s="330">
        <v>3</v>
      </c>
      <c r="AM321" s="329">
        <v>0.326</v>
      </c>
      <c r="AN321" s="329">
        <v>0.75</v>
      </c>
      <c r="AO321" s="330">
        <v>4.9</v>
      </c>
      <c r="AP321" s="330">
        <v>5.66</v>
      </c>
    </row>
    <row r="322" spans="20:42" ht="12.75">
      <c r="T322" s="24"/>
      <c r="U322" s="24"/>
      <c r="V322" s="24"/>
      <c r="W322" s="24"/>
      <c r="X322" s="24"/>
      <c r="Y322" s="29"/>
      <c r="Z322" s="24"/>
      <c r="AA322" s="24"/>
      <c r="AB322" s="24"/>
      <c r="AC322" s="24"/>
      <c r="AD322" s="24"/>
      <c r="AE322" s="24"/>
      <c r="AF322" s="26"/>
      <c r="AG322" s="26"/>
      <c r="AH322" s="26"/>
      <c r="AI322" s="327" t="s">
        <v>666</v>
      </c>
      <c r="AJ322" s="330">
        <v>4</v>
      </c>
      <c r="AK322" s="329">
        <v>0.326</v>
      </c>
      <c r="AL322" s="330">
        <v>2.8</v>
      </c>
      <c r="AM322" s="329">
        <v>0.293</v>
      </c>
      <c r="AN322" s="329">
        <v>0.75</v>
      </c>
      <c r="AO322" s="330">
        <v>3.38</v>
      </c>
      <c r="AP322" s="330">
        <v>4.04</v>
      </c>
    </row>
    <row r="323" spans="20:42" ht="12.75">
      <c r="T323" s="24"/>
      <c r="U323" s="24"/>
      <c r="V323" s="24"/>
      <c r="W323" s="24"/>
      <c r="X323" s="24"/>
      <c r="Y323" s="29"/>
      <c r="Z323" s="24"/>
      <c r="AA323" s="24"/>
      <c r="AB323" s="24"/>
      <c r="AC323" s="24"/>
      <c r="AD323" s="24"/>
      <c r="AE323" s="24"/>
      <c r="AF323" s="26"/>
      <c r="AG323" s="26"/>
      <c r="AH323" s="26"/>
      <c r="AI323" s="327" t="s">
        <v>667</v>
      </c>
      <c r="AJ323" s="330">
        <v>4</v>
      </c>
      <c r="AK323" s="329">
        <v>0.193</v>
      </c>
      <c r="AL323" s="330">
        <v>2.66</v>
      </c>
      <c r="AM323" s="329">
        <v>0.293</v>
      </c>
      <c r="AN323" s="329">
        <v>0.75</v>
      </c>
      <c r="AO323" s="330">
        <v>3.03</v>
      </c>
      <c r="AP323" s="330">
        <v>3.5</v>
      </c>
    </row>
    <row r="324" spans="20:42" ht="12.75">
      <c r="T324" s="24"/>
      <c r="U324" s="24"/>
      <c r="V324" s="24"/>
      <c r="W324" s="24"/>
      <c r="X324" s="24"/>
      <c r="Y324" s="29"/>
      <c r="Z324" s="24"/>
      <c r="AA324" s="24"/>
      <c r="AB324" s="24"/>
      <c r="AC324" s="24"/>
      <c r="AD324" s="24"/>
      <c r="AE324" s="24"/>
      <c r="AF324" s="26"/>
      <c r="AG324" s="26"/>
      <c r="AH324" s="26"/>
      <c r="AI324" s="327" t="s">
        <v>668</v>
      </c>
      <c r="AJ324" s="330">
        <v>3</v>
      </c>
      <c r="AK324" s="329">
        <v>0.349</v>
      </c>
      <c r="AL324" s="330">
        <v>2.51</v>
      </c>
      <c r="AM324" s="329">
        <v>0.26</v>
      </c>
      <c r="AN324" s="329">
        <v>0.625</v>
      </c>
      <c r="AO324" s="330">
        <v>1.94</v>
      </c>
      <c r="AP324" s="330">
        <v>2.35</v>
      </c>
    </row>
    <row r="325" spans="20:42" ht="12.75">
      <c r="T325" s="24"/>
      <c r="U325" s="24"/>
      <c r="V325" s="24"/>
      <c r="W325" s="24"/>
      <c r="X325" s="24"/>
      <c r="Y325" s="29"/>
      <c r="Z325" s="24"/>
      <c r="AA325" s="24"/>
      <c r="AB325" s="24"/>
      <c r="AC325" s="24"/>
      <c r="AD325" s="24"/>
      <c r="AE325" s="24"/>
      <c r="AF325" s="26"/>
      <c r="AG325" s="26"/>
      <c r="AH325" s="26"/>
      <c r="AI325" s="364" t="s">
        <v>669</v>
      </c>
      <c r="AJ325" s="365">
        <v>3</v>
      </c>
      <c r="AK325" s="366">
        <v>0.17</v>
      </c>
      <c r="AL325" s="365">
        <v>2.33</v>
      </c>
      <c r="AM325" s="366">
        <v>0.26</v>
      </c>
      <c r="AN325" s="366">
        <v>0.625</v>
      </c>
      <c r="AO325" s="365">
        <v>1.67</v>
      </c>
      <c r="AP325" s="365">
        <v>1.94</v>
      </c>
    </row>
    <row r="326" spans="20:42" ht="12.75">
      <c r="T326" s="24"/>
      <c r="U326" s="24"/>
      <c r="V326" s="24"/>
      <c r="W326" s="24"/>
      <c r="X326" s="24"/>
      <c r="Y326" s="29"/>
      <c r="Z326" s="24"/>
      <c r="AA326" s="24"/>
      <c r="AB326" s="24"/>
      <c r="AC326" s="24"/>
      <c r="AD326" s="24"/>
      <c r="AE326" s="24"/>
      <c r="AF326" s="26"/>
      <c r="AG326" s="26"/>
      <c r="AH326" s="26"/>
      <c r="AI326" s="367" t="s">
        <v>670</v>
      </c>
      <c r="AJ326" s="368">
        <v>14.2</v>
      </c>
      <c r="AK326" s="369">
        <v>0.805</v>
      </c>
      <c r="AL326" s="368">
        <v>14.9</v>
      </c>
      <c r="AM326" s="369">
        <v>0.805</v>
      </c>
      <c r="AN326" s="370">
        <v>1.5</v>
      </c>
      <c r="AO326" s="373">
        <v>172</v>
      </c>
      <c r="AP326" s="373">
        <v>194</v>
      </c>
    </row>
    <row r="327" spans="20:42" ht="12.75">
      <c r="T327" s="24"/>
      <c r="U327" s="24"/>
      <c r="V327" s="24"/>
      <c r="W327" s="24"/>
      <c r="X327" s="24"/>
      <c r="Y327" s="29"/>
      <c r="Z327" s="24"/>
      <c r="AA327" s="24"/>
      <c r="AB327" s="24"/>
      <c r="AC327" s="24"/>
      <c r="AD327" s="24"/>
      <c r="AE327" s="24"/>
      <c r="AF327" s="26"/>
      <c r="AG327" s="26"/>
      <c r="AH327" s="26"/>
      <c r="AI327" s="327" t="s">
        <v>671</v>
      </c>
      <c r="AJ327" s="328">
        <v>14</v>
      </c>
      <c r="AK327" s="329">
        <v>0.705</v>
      </c>
      <c r="AL327" s="328">
        <v>14.8</v>
      </c>
      <c r="AM327" s="329">
        <v>0.705</v>
      </c>
      <c r="AN327" s="330">
        <v>1.38</v>
      </c>
      <c r="AO327" s="331">
        <v>150</v>
      </c>
      <c r="AP327" s="331">
        <v>169</v>
      </c>
    </row>
    <row r="328" spans="20:42" ht="12.75">
      <c r="T328" s="24"/>
      <c r="U328" s="24"/>
      <c r="V328" s="24"/>
      <c r="W328" s="24"/>
      <c r="X328" s="24"/>
      <c r="Y328" s="29"/>
      <c r="Z328" s="24"/>
      <c r="AA328" s="24"/>
      <c r="AB328" s="24"/>
      <c r="AC328" s="24"/>
      <c r="AD328" s="24"/>
      <c r="AE328" s="24"/>
      <c r="AF328" s="26"/>
      <c r="AG328" s="26"/>
      <c r="AH328" s="26"/>
      <c r="AI328" s="327" t="s">
        <v>672</v>
      </c>
      <c r="AJ328" s="328">
        <v>13.8</v>
      </c>
      <c r="AK328" s="329">
        <v>0.615</v>
      </c>
      <c r="AL328" s="328">
        <v>14.7</v>
      </c>
      <c r="AM328" s="329">
        <v>0.615</v>
      </c>
      <c r="AN328" s="330">
        <v>1.31</v>
      </c>
      <c r="AO328" s="331">
        <v>131</v>
      </c>
      <c r="AP328" s="331">
        <v>146</v>
      </c>
    </row>
    <row r="329" spans="20:42" ht="12.75">
      <c r="T329" s="24"/>
      <c r="U329" s="24"/>
      <c r="V329" s="24"/>
      <c r="W329" s="24"/>
      <c r="X329" s="24"/>
      <c r="Y329" s="29"/>
      <c r="Z329" s="24"/>
      <c r="AA329" s="24"/>
      <c r="AB329" s="24"/>
      <c r="AC329" s="24"/>
      <c r="AD329" s="24"/>
      <c r="AE329" s="24"/>
      <c r="AF329" s="26"/>
      <c r="AG329" s="26"/>
      <c r="AH329" s="26"/>
      <c r="AI329" s="327" t="s">
        <v>673</v>
      </c>
      <c r="AJ329" s="328">
        <v>13.6</v>
      </c>
      <c r="AK329" s="329">
        <v>0.505</v>
      </c>
      <c r="AL329" s="328">
        <v>14.6</v>
      </c>
      <c r="AM329" s="329">
        <v>0.505</v>
      </c>
      <c r="AN329" s="330">
        <v>1.19</v>
      </c>
      <c r="AO329" s="331">
        <v>107</v>
      </c>
      <c r="AP329" s="331">
        <v>118</v>
      </c>
    </row>
    <row r="330" spans="20:42" ht="12.75">
      <c r="T330" s="24"/>
      <c r="U330" s="24"/>
      <c r="V330" s="24"/>
      <c r="W330" s="24"/>
      <c r="X330" s="24"/>
      <c r="Y330" s="29"/>
      <c r="Z330" s="24"/>
      <c r="AA330" s="24"/>
      <c r="AB330" s="24"/>
      <c r="AC330" s="24"/>
      <c r="AD330" s="24"/>
      <c r="AE330" s="24"/>
      <c r="AF330" s="26"/>
      <c r="AG330" s="26"/>
      <c r="AH330" s="26"/>
      <c r="AI330" s="327" t="s">
        <v>674</v>
      </c>
      <c r="AJ330" s="328">
        <v>12.3</v>
      </c>
      <c r="AK330" s="329">
        <v>0.685</v>
      </c>
      <c r="AL330" s="328">
        <v>12.3</v>
      </c>
      <c r="AM330" s="329">
        <v>0.685</v>
      </c>
      <c r="AN330" s="330">
        <v>1.38</v>
      </c>
      <c r="AO330" s="331">
        <v>106</v>
      </c>
      <c r="AP330" s="331">
        <v>120</v>
      </c>
    </row>
    <row r="331" spans="20:42" ht="12.75">
      <c r="T331" s="24"/>
      <c r="U331" s="24"/>
      <c r="V331" s="24"/>
      <c r="W331" s="24"/>
      <c r="X331" s="24"/>
      <c r="Y331" s="29"/>
      <c r="Z331" s="24"/>
      <c r="AA331" s="24"/>
      <c r="AB331" s="24"/>
      <c r="AC331" s="24"/>
      <c r="AD331" s="24"/>
      <c r="AE331" s="24"/>
      <c r="AF331" s="26"/>
      <c r="AG331" s="26"/>
      <c r="AH331" s="26"/>
      <c r="AI331" s="327" t="s">
        <v>675</v>
      </c>
      <c r="AJ331" s="328">
        <v>12.1</v>
      </c>
      <c r="AK331" s="329">
        <v>0.605</v>
      </c>
      <c r="AL331" s="328">
        <v>12.2</v>
      </c>
      <c r="AM331" s="329">
        <v>0.61</v>
      </c>
      <c r="AN331" s="330">
        <v>1.31</v>
      </c>
      <c r="AO331" s="328">
        <v>93.8</v>
      </c>
      <c r="AP331" s="331">
        <v>105</v>
      </c>
    </row>
    <row r="332" spans="20:42" ht="12.75">
      <c r="T332" s="24"/>
      <c r="U332" s="24"/>
      <c r="V332" s="24"/>
      <c r="W332" s="24"/>
      <c r="X332" s="24"/>
      <c r="Y332" s="29"/>
      <c r="Z332" s="24"/>
      <c r="AA332" s="24"/>
      <c r="AB332" s="24"/>
      <c r="AC332" s="24"/>
      <c r="AD332" s="24"/>
      <c r="AE332" s="24"/>
      <c r="AF332" s="26"/>
      <c r="AG332" s="26"/>
      <c r="AH332" s="26"/>
      <c r="AI332" s="327" t="s">
        <v>676</v>
      </c>
      <c r="AJ332" s="328">
        <v>11.9</v>
      </c>
      <c r="AK332" s="329">
        <v>0.515</v>
      </c>
      <c r="AL332" s="328">
        <v>12.1</v>
      </c>
      <c r="AM332" s="329">
        <v>0.515</v>
      </c>
      <c r="AN332" s="330">
        <v>1.25</v>
      </c>
      <c r="AO332" s="328">
        <v>79.1</v>
      </c>
      <c r="AP332" s="328">
        <v>88.3</v>
      </c>
    </row>
    <row r="333" spans="20:42" ht="12.75">
      <c r="T333" s="24"/>
      <c r="U333" s="24"/>
      <c r="V333" s="24"/>
      <c r="W333" s="24"/>
      <c r="X333" s="24"/>
      <c r="Y333" s="29"/>
      <c r="Z333" s="24"/>
      <c r="AA333" s="24"/>
      <c r="AB333" s="24"/>
      <c r="AC333" s="24"/>
      <c r="AD333" s="24"/>
      <c r="AE333" s="24"/>
      <c r="AF333" s="26"/>
      <c r="AG333" s="26"/>
      <c r="AH333" s="26"/>
      <c r="AI333" s="327" t="s">
        <v>677</v>
      </c>
      <c r="AJ333" s="328">
        <v>11.8</v>
      </c>
      <c r="AK333" s="329">
        <v>0.435</v>
      </c>
      <c r="AL333" s="328">
        <v>12</v>
      </c>
      <c r="AM333" s="329">
        <v>0.435</v>
      </c>
      <c r="AN333" s="330">
        <v>1.13</v>
      </c>
      <c r="AO333" s="328">
        <v>66.7</v>
      </c>
      <c r="AP333" s="328">
        <v>74</v>
      </c>
    </row>
    <row r="334" spans="20:42" ht="12.75">
      <c r="T334" s="24"/>
      <c r="U334" s="24"/>
      <c r="V334" s="24"/>
      <c r="W334" s="24"/>
      <c r="X334" s="24"/>
      <c r="Y334" s="29"/>
      <c r="Z334" s="24"/>
      <c r="AA334" s="24"/>
      <c r="AB334" s="24"/>
      <c r="AC334" s="24"/>
      <c r="AD334" s="24"/>
      <c r="AE334" s="24"/>
      <c r="AF334" s="26"/>
      <c r="AG334" s="26"/>
      <c r="AH334" s="26"/>
      <c r="AI334" s="327" t="s">
        <v>678</v>
      </c>
      <c r="AJ334" s="328">
        <v>10</v>
      </c>
      <c r="AK334" s="329">
        <v>0.565</v>
      </c>
      <c r="AL334" s="328">
        <v>10.2</v>
      </c>
      <c r="AM334" s="329">
        <v>0.565</v>
      </c>
      <c r="AN334" s="330">
        <v>1.25</v>
      </c>
      <c r="AO334" s="328">
        <v>58.8</v>
      </c>
      <c r="AP334" s="328">
        <v>66.5</v>
      </c>
    </row>
    <row r="335" spans="20:42" ht="12.75">
      <c r="T335" s="24"/>
      <c r="U335" s="24"/>
      <c r="V335" s="24"/>
      <c r="W335" s="24"/>
      <c r="X335" s="24"/>
      <c r="Y335" s="29"/>
      <c r="Z335" s="24"/>
      <c r="AA335" s="24"/>
      <c r="AB335" s="24"/>
      <c r="AC335" s="24"/>
      <c r="AD335" s="24"/>
      <c r="AE335" s="24"/>
      <c r="AF335" s="26"/>
      <c r="AG335" s="26"/>
      <c r="AH335" s="26"/>
      <c r="AI335" s="327" t="s">
        <v>679</v>
      </c>
      <c r="AJ335" s="330">
        <v>9.7</v>
      </c>
      <c r="AK335" s="329">
        <v>0.415</v>
      </c>
      <c r="AL335" s="328">
        <v>10.1</v>
      </c>
      <c r="AM335" s="329">
        <v>0.42</v>
      </c>
      <c r="AN335" s="330">
        <v>1.13</v>
      </c>
      <c r="AO335" s="328">
        <v>43.4</v>
      </c>
      <c r="AP335" s="328">
        <v>48.3</v>
      </c>
    </row>
    <row r="336" spans="20:42" ht="12.75">
      <c r="T336" s="24"/>
      <c r="U336" s="24"/>
      <c r="V336" s="24"/>
      <c r="W336" s="24"/>
      <c r="X336" s="24"/>
      <c r="Y336" s="29"/>
      <c r="Z336" s="24"/>
      <c r="AA336" s="24"/>
      <c r="AB336" s="24"/>
      <c r="AC336" s="24"/>
      <c r="AD336" s="24"/>
      <c r="AE336" s="24"/>
      <c r="AF336" s="26"/>
      <c r="AG336" s="26"/>
      <c r="AH336" s="26"/>
      <c r="AI336" s="364" t="s">
        <v>680</v>
      </c>
      <c r="AJ336" s="365">
        <v>8.02</v>
      </c>
      <c r="AK336" s="366">
        <v>0.445</v>
      </c>
      <c r="AL336" s="365">
        <v>8.16</v>
      </c>
      <c r="AM336" s="366">
        <v>0.445</v>
      </c>
      <c r="AN336" s="365">
        <v>1.13</v>
      </c>
      <c r="AO336" s="374">
        <v>29.8</v>
      </c>
      <c r="AP336" s="374">
        <v>33.6</v>
      </c>
    </row>
    <row r="337" spans="20:42" ht="12.75">
      <c r="T337" s="24"/>
      <c r="U337" s="24"/>
      <c r="V337" s="24"/>
      <c r="W337" s="24"/>
      <c r="X337" s="24"/>
      <c r="Y337" s="29"/>
      <c r="Z337" s="24"/>
      <c r="AA337" s="24"/>
      <c r="AB337" s="24"/>
      <c r="AC337" s="24"/>
      <c r="AD337" s="24"/>
      <c r="AE337" s="24"/>
      <c r="AF337" s="26"/>
      <c r="AG337" s="26"/>
      <c r="AH337" s="26"/>
      <c r="AI337" s="322" t="s">
        <v>681</v>
      </c>
      <c r="AJ337" s="323">
        <v>15</v>
      </c>
      <c r="AK337" s="375">
        <v>0.716</v>
      </c>
      <c r="AL337" s="324">
        <v>3.72</v>
      </c>
      <c r="AM337" s="375">
        <v>0.65</v>
      </c>
      <c r="AN337" s="325">
        <v>1.4375</v>
      </c>
      <c r="AO337" s="323">
        <v>53.8</v>
      </c>
      <c r="AP337" s="323">
        <v>68.5</v>
      </c>
    </row>
    <row r="338" spans="20:42" ht="12.75">
      <c r="T338" s="24"/>
      <c r="U338" s="24"/>
      <c r="V338" s="24"/>
      <c r="W338" s="24"/>
      <c r="X338" s="24"/>
      <c r="Y338" s="29"/>
      <c r="Z338" s="24"/>
      <c r="AA338" s="24"/>
      <c r="AB338" s="24"/>
      <c r="AC338" s="24"/>
      <c r="AD338" s="24"/>
      <c r="AE338" s="24"/>
      <c r="AF338" s="26"/>
      <c r="AG338" s="26"/>
      <c r="AH338" s="26"/>
      <c r="AI338" s="327" t="s">
        <v>682</v>
      </c>
      <c r="AJ338" s="328">
        <v>15</v>
      </c>
      <c r="AK338" s="329">
        <v>0.52</v>
      </c>
      <c r="AL338" s="330">
        <v>3.52</v>
      </c>
      <c r="AM338" s="329">
        <v>0.65</v>
      </c>
      <c r="AN338" s="331">
        <v>1.4375</v>
      </c>
      <c r="AO338" s="328">
        <v>46.5</v>
      </c>
      <c r="AP338" s="328">
        <v>57.5</v>
      </c>
    </row>
    <row r="339" spans="20:42" ht="12.75">
      <c r="T339" s="24"/>
      <c r="U339" s="24"/>
      <c r="V339" s="24"/>
      <c r="W339" s="24"/>
      <c r="X339" s="24"/>
      <c r="Y339" s="29"/>
      <c r="Z339" s="24"/>
      <c r="AA339" s="24"/>
      <c r="AB339" s="24"/>
      <c r="AC339" s="24"/>
      <c r="AD339" s="24"/>
      <c r="AE339" s="24"/>
      <c r="AF339" s="26"/>
      <c r="AG339" s="26"/>
      <c r="AH339" s="26"/>
      <c r="AI339" s="327" t="s">
        <v>683</v>
      </c>
      <c r="AJ339" s="328">
        <v>15</v>
      </c>
      <c r="AK339" s="329">
        <v>0.4</v>
      </c>
      <c r="AL339" s="330">
        <v>3.4</v>
      </c>
      <c r="AM339" s="329">
        <v>0.65</v>
      </c>
      <c r="AN339" s="331">
        <v>1.4375</v>
      </c>
      <c r="AO339" s="328">
        <v>42</v>
      </c>
      <c r="AP339" s="328">
        <v>50.8</v>
      </c>
    </row>
    <row r="340" spans="20:42" ht="12.75">
      <c r="T340" s="24"/>
      <c r="U340" s="24"/>
      <c r="V340" s="24"/>
      <c r="W340" s="24"/>
      <c r="X340" s="24"/>
      <c r="Y340" s="29"/>
      <c r="Z340" s="24"/>
      <c r="AA340" s="24"/>
      <c r="AB340" s="24"/>
      <c r="AC340" s="24"/>
      <c r="AD340" s="24"/>
      <c r="AE340" s="24"/>
      <c r="AF340" s="26"/>
      <c r="AG340" s="26"/>
      <c r="AH340" s="26"/>
      <c r="AI340" s="327" t="s">
        <v>684</v>
      </c>
      <c r="AJ340" s="328">
        <v>12</v>
      </c>
      <c r="AK340" s="329">
        <v>0.51</v>
      </c>
      <c r="AL340" s="330">
        <v>3.17</v>
      </c>
      <c r="AM340" s="329">
        <v>0.501</v>
      </c>
      <c r="AN340" s="331">
        <v>1.125</v>
      </c>
      <c r="AO340" s="328">
        <v>27</v>
      </c>
      <c r="AP340" s="328">
        <v>33.8</v>
      </c>
    </row>
    <row r="341" spans="20:42" ht="12.75">
      <c r="T341" s="24"/>
      <c r="U341" s="24"/>
      <c r="V341" s="24"/>
      <c r="W341" s="24"/>
      <c r="X341" s="24"/>
      <c r="Y341" s="29"/>
      <c r="Z341" s="24"/>
      <c r="AA341" s="24"/>
      <c r="AB341" s="24"/>
      <c r="AC341" s="24"/>
      <c r="AD341" s="24"/>
      <c r="AE341" s="24"/>
      <c r="AF341" s="26"/>
      <c r="AG341" s="26"/>
      <c r="AH341" s="26"/>
      <c r="AI341" s="327" t="s">
        <v>685</v>
      </c>
      <c r="AJ341" s="328">
        <v>12</v>
      </c>
      <c r="AK341" s="329">
        <v>0.387</v>
      </c>
      <c r="AL341" s="330">
        <v>3.05</v>
      </c>
      <c r="AM341" s="329">
        <v>0.501</v>
      </c>
      <c r="AN341" s="331">
        <v>1.125</v>
      </c>
      <c r="AO341" s="328">
        <v>24</v>
      </c>
      <c r="AP341" s="328">
        <v>29.4</v>
      </c>
    </row>
    <row r="342" spans="20:42" ht="12.75">
      <c r="T342" s="24"/>
      <c r="U342" s="24"/>
      <c r="V342" s="24"/>
      <c r="W342" s="24"/>
      <c r="X342" s="24"/>
      <c r="Y342" s="29"/>
      <c r="Z342" s="24"/>
      <c r="AA342" s="24"/>
      <c r="AB342" s="24"/>
      <c r="AC342" s="24"/>
      <c r="AD342" s="24"/>
      <c r="AE342" s="24"/>
      <c r="AF342" s="26"/>
      <c r="AG342" s="26"/>
      <c r="AH342" s="26"/>
      <c r="AI342" s="327" t="s">
        <v>686</v>
      </c>
      <c r="AJ342" s="328">
        <v>12</v>
      </c>
      <c r="AK342" s="329">
        <v>0.282</v>
      </c>
      <c r="AL342" s="330">
        <v>2.94</v>
      </c>
      <c r="AM342" s="329">
        <v>0.501</v>
      </c>
      <c r="AN342" s="331">
        <v>1.125</v>
      </c>
      <c r="AO342" s="328">
        <v>21.5</v>
      </c>
      <c r="AP342" s="328">
        <v>25.6</v>
      </c>
    </row>
    <row r="343" spans="20:42" ht="12.75">
      <c r="T343" s="24"/>
      <c r="U343" s="24"/>
      <c r="V343" s="24"/>
      <c r="W343" s="24"/>
      <c r="X343" s="24"/>
      <c r="Y343" s="29"/>
      <c r="Z343" s="24"/>
      <c r="AA343" s="24"/>
      <c r="AB343" s="24"/>
      <c r="AC343" s="24"/>
      <c r="AD343" s="24"/>
      <c r="AE343" s="24"/>
      <c r="AF343" s="26"/>
      <c r="AG343" s="26"/>
      <c r="AH343" s="26"/>
      <c r="AI343" s="327" t="s">
        <v>687</v>
      </c>
      <c r="AJ343" s="328">
        <v>10</v>
      </c>
      <c r="AK343" s="329">
        <v>0.673</v>
      </c>
      <c r="AL343" s="330">
        <v>3.03</v>
      </c>
      <c r="AM343" s="329">
        <v>0.436</v>
      </c>
      <c r="AN343" s="331">
        <v>1</v>
      </c>
      <c r="AO343" s="328">
        <v>20.7</v>
      </c>
      <c r="AP343" s="328">
        <v>26.7</v>
      </c>
    </row>
    <row r="344" spans="20:42" ht="12.75">
      <c r="T344" s="24"/>
      <c r="U344" s="24"/>
      <c r="V344" s="24"/>
      <c r="W344" s="24"/>
      <c r="X344" s="24"/>
      <c r="Y344" s="29"/>
      <c r="Z344" s="24"/>
      <c r="AA344" s="24"/>
      <c r="AB344" s="24"/>
      <c r="AC344" s="24"/>
      <c r="AD344" s="24"/>
      <c r="AE344" s="24"/>
      <c r="AF344" s="26"/>
      <c r="AG344" s="26"/>
      <c r="AH344" s="26"/>
      <c r="AI344" s="327" t="s">
        <v>688</v>
      </c>
      <c r="AJ344" s="328">
        <v>10</v>
      </c>
      <c r="AK344" s="329">
        <v>0.526</v>
      </c>
      <c r="AL344" s="330">
        <v>2.89</v>
      </c>
      <c r="AM344" s="329">
        <v>0.436</v>
      </c>
      <c r="AN344" s="331">
        <v>1</v>
      </c>
      <c r="AO344" s="328">
        <v>18.2</v>
      </c>
      <c r="AP344" s="328">
        <v>23.1</v>
      </c>
    </row>
    <row r="345" spans="20:42" ht="12.75">
      <c r="T345" s="24"/>
      <c r="U345" s="24"/>
      <c r="V345" s="24"/>
      <c r="W345" s="24"/>
      <c r="X345" s="24"/>
      <c r="Y345" s="29"/>
      <c r="Z345" s="24"/>
      <c r="AA345" s="24"/>
      <c r="AB345" s="24"/>
      <c r="AC345" s="24"/>
      <c r="AD345" s="24"/>
      <c r="AE345" s="24"/>
      <c r="AF345" s="26"/>
      <c r="AG345" s="26"/>
      <c r="AH345" s="26"/>
      <c r="AI345" s="327" t="s">
        <v>689</v>
      </c>
      <c r="AJ345" s="328">
        <v>10</v>
      </c>
      <c r="AK345" s="329">
        <v>0.379</v>
      </c>
      <c r="AL345" s="330">
        <v>2.74</v>
      </c>
      <c r="AM345" s="329">
        <v>0.436</v>
      </c>
      <c r="AN345" s="331">
        <v>1</v>
      </c>
      <c r="AO345" s="328">
        <v>15.8</v>
      </c>
      <c r="AP345" s="328">
        <v>19.4</v>
      </c>
    </row>
    <row r="346" spans="20:42" ht="12.75">
      <c r="T346" s="24"/>
      <c r="U346" s="24"/>
      <c r="V346" s="24"/>
      <c r="W346" s="24"/>
      <c r="X346" s="24"/>
      <c r="Y346" s="29"/>
      <c r="Z346" s="24"/>
      <c r="AA346" s="24"/>
      <c r="AB346" s="24"/>
      <c r="AC346" s="24"/>
      <c r="AD346" s="24"/>
      <c r="AE346" s="24"/>
      <c r="AF346" s="26"/>
      <c r="AG346" s="26"/>
      <c r="AH346" s="26"/>
      <c r="AI346" s="327" t="s">
        <v>690</v>
      </c>
      <c r="AJ346" s="328">
        <v>10</v>
      </c>
      <c r="AK346" s="329">
        <v>0.24</v>
      </c>
      <c r="AL346" s="330">
        <v>2.6</v>
      </c>
      <c r="AM346" s="329">
        <v>0.436</v>
      </c>
      <c r="AN346" s="331">
        <v>1</v>
      </c>
      <c r="AO346" s="328">
        <v>13.5</v>
      </c>
      <c r="AP346" s="328">
        <v>15.9</v>
      </c>
    </row>
    <row r="347" spans="20:42" ht="12.75">
      <c r="T347" s="24"/>
      <c r="U347" s="24"/>
      <c r="V347" s="24"/>
      <c r="W347" s="24"/>
      <c r="X347" s="24"/>
      <c r="Y347" s="29"/>
      <c r="Z347" s="24"/>
      <c r="AA347" s="24"/>
      <c r="AB347" s="24"/>
      <c r="AC347" s="24"/>
      <c r="AD347" s="24"/>
      <c r="AE347" s="24"/>
      <c r="AF347" s="26"/>
      <c r="AG347" s="26"/>
      <c r="AH347" s="26"/>
      <c r="AI347" s="327" t="s">
        <v>691</v>
      </c>
      <c r="AJ347" s="330">
        <v>9</v>
      </c>
      <c r="AK347" s="329">
        <v>0.448</v>
      </c>
      <c r="AL347" s="330">
        <v>2.65</v>
      </c>
      <c r="AM347" s="329">
        <v>0.413</v>
      </c>
      <c r="AN347" s="331">
        <v>1</v>
      </c>
      <c r="AO347" s="328">
        <v>13.5</v>
      </c>
      <c r="AP347" s="328">
        <v>16.9</v>
      </c>
    </row>
    <row r="348" spans="20:42" ht="12.75">
      <c r="T348" s="24"/>
      <c r="U348" s="24"/>
      <c r="V348" s="24"/>
      <c r="W348" s="24"/>
      <c r="X348" s="24"/>
      <c r="Y348" s="29"/>
      <c r="Z348" s="24"/>
      <c r="AA348" s="24"/>
      <c r="AB348" s="24"/>
      <c r="AC348" s="24"/>
      <c r="AD348" s="24"/>
      <c r="AE348" s="24"/>
      <c r="AF348" s="26"/>
      <c r="AG348" s="26"/>
      <c r="AH348" s="26"/>
      <c r="AI348" s="327" t="s">
        <v>692</v>
      </c>
      <c r="AJ348" s="330">
        <v>9</v>
      </c>
      <c r="AK348" s="329">
        <v>0.285</v>
      </c>
      <c r="AL348" s="330">
        <v>2.49</v>
      </c>
      <c r="AM348" s="329">
        <v>0.413</v>
      </c>
      <c r="AN348" s="331">
        <v>1</v>
      </c>
      <c r="AO348" s="328">
        <v>11.3</v>
      </c>
      <c r="AP348" s="328">
        <v>13.6</v>
      </c>
    </row>
    <row r="349" spans="20:42" ht="12.75">
      <c r="T349" s="24"/>
      <c r="U349" s="24"/>
      <c r="V349" s="24"/>
      <c r="W349" s="24"/>
      <c r="X349" s="24"/>
      <c r="Y349" s="29"/>
      <c r="Z349" s="24"/>
      <c r="AA349" s="24"/>
      <c r="AB349" s="24"/>
      <c r="AC349" s="24"/>
      <c r="AD349" s="24"/>
      <c r="AE349" s="24"/>
      <c r="AF349" s="26"/>
      <c r="AG349" s="26"/>
      <c r="AH349" s="26"/>
      <c r="AI349" s="327" t="s">
        <v>693</v>
      </c>
      <c r="AJ349" s="330">
        <v>9</v>
      </c>
      <c r="AK349" s="329">
        <v>0.233</v>
      </c>
      <c r="AL349" s="330">
        <v>2.43</v>
      </c>
      <c r="AM349" s="329">
        <v>0.413</v>
      </c>
      <c r="AN349" s="331">
        <v>1</v>
      </c>
      <c r="AO349" s="328">
        <v>10.6</v>
      </c>
      <c r="AP349" s="328">
        <v>12.6</v>
      </c>
    </row>
    <row r="350" spans="20:42" ht="12.75">
      <c r="T350" s="24"/>
      <c r="U350" s="24"/>
      <c r="V350" s="24"/>
      <c r="W350" s="24"/>
      <c r="X350" s="24"/>
      <c r="Y350" s="29"/>
      <c r="Z350" s="24"/>
      <c r="AA350" s="24"/>
      <c r="AB350" s="24"/>
      <c r="AC350" s="24"/>
      <c r="AD350" s="24"/>
      <c r="AE350" s="24"/>
      <c r="AF350" s="26"/>
      <c r="AG350" s="26"/>
      <c r="AH350" s="26"/>
      <c r="AI350" s="327" t="s">
        <v>694</v>
      </c>
      <c r="AJ350" s="330">
        <v>8</v>
      </c>
      <c r="AK350" s="329">
        <v>0.487</v>
      </c>
      <c r="AL350" s="330">
        <v>2.53</v>
      </c>
      <c r="AM350" s="329">
        <v>0.39</v>
      </c>
      <c r="AN350" s="331">
        <v>0.9375</v>
      </c>
      <c r="AO350" s="328">
        <v>11</v>
      </c>
      <c r="AP350" s="328">
        <v>13.9</v>
      </c>
    </row>
    <row r="351" spans="20:42" ht="12.75">
      <c r="T351" s="24"/>
      <c r="U351" s="24"/>
      <c r="V351" s="24"/>
      <c r="W351" s="24"/>
      <c r="X351" s="24"/>
      <c r="Y351" s="29"/>
      <c r="Z351" s="24"/>
      <c r="AA351" s="24"/>
      <c r="AB351" s="24"/>
      <c r="AC351" s="24"/>
      <c r="AD351" s="24"/>
      <c r="AE351" s="24"/>
      <c r="AF351" s="26"/>
      <c r="AG351" s="26"/>
      <c r="AH351" s="26"/>
      <c r="AI351" s="327" t="s">
        <v>695</v>
      </c>
      <c r="AJ351" s="330">
        <v>8</v>
      </c>
      <c r="AK351" s="329">
        <v>0.303</v>
      </c>
      <c r="AL351" s="330">
        <v>2.34</v>
      </c>
      <c r="AM351" s="329">
        <v>0.39</v>
      </c>
      <c r="AN351" s="331">
        <v>0.9375</v>
      </c>
      <c r="AO351" s="330">
        <v>9.02</v>
      </c>
      <c r="AP351" s="328">
        <v>11</v>
      </c>
    </row>
    <row r="352" spans="20:42" ht="12.75">
      <c r="T352" s="24"/>
      <c r="U352" s="24"/>
      <c r="V352" s="24"/>
      <c r="W352" s="24"/>
      <c r="X352" s="24"/>
      <c r="Y352" s="29"/>
      <c r="Z352" s="24"/>
      <c r="AA352" s="24"/>
      <c r="AB352" s="24"/>
      <c r="AC352" s="24"/>
      <c r="AD352" s="24"/>
      <c r="AE352" s="24"/>
      <c r="AF352" s="26"/>
      <c r="AG352" s="26"/>
      <c r="AH352" s="26"/>
      <c r="AI352" s="327" t="s">
        <v>696</v>
      </c>
      <c r="AJ352" s="330">
        <v>8</v>
      </c>
      <c r="AK352" s="329">
        <v>0.22</v>
      </c>
      <c r="AL352" s="330">
        <v>2.26</v>
      </c>
      <c r="AM352" s="329">
        <v>0.39</v>
      </c>
      <c r="AN352" s="331">
        <v>0.9375</v>
      </c>
      <c r="AO352" s="330">
        <v>8.14</v>
      </c>
      <c r="AP352" s="330">
        <v>9.63</v>
      </c>
    </row>
    <row r="353" spans="20:42" ht="12.75">
      <c r="T353" s="24"/>
      <c r="U353" s="24"/>
      <c r="V353" s="24"/>
      <c r="W353" s="24"/>
      <c r="X353" s="24"/>
      <c r="Y353" s="29"/>
      <c r="Z353" s="24"/>
      <c r="AA353" s="24"/>
      <c r="AB353" s="24"/>
      <c r="AC353" s="24"/>
      <c r="AD353" s="24"/>
      <c r="AE353" s="24"/>
      <c r="AF353" s="26"/>
      <c r="AG353" s="26"/>
      <c r="AH353" s="26"/>
      <c r="AI353" s="327" t="s">
        <v>697</v>
      </c>
      <c r="AJ353" s="330">
        <v>7</v>
      </c>
      <c r="AK353" s="329">
        <v>0.419</v>
      </c>
      <c r="AL353" s="330">
        <v>2.3</v>
      </c>
      <c r="AM353" s="329">
        <v>0.366</v>
      </c>
      <c r="AN353" s="331">
        <v>0.875</v>
      </c>
      <c r="AO353" s="330">
        <v>7.78</v>
      </c>
      <c r="AP353" s="330">
        <v>9.75</v>
      </c>
    </row>
    <row r="354" spans="20:42" ht="12.75">
      <c r="T354" s="24"/>
      <c r="U354" s="24"/>
      <c r="V354" s="24"/>
      <c r="W354" s="24"/>
      <c r="X354" s="24"/>
      <c r="Y354" s="29"/>
      <c r="Z354" s="24"/>
      <c r="AA354" s="24"/>
      <c r="AB354" s="24"/>
      <c r="AC354" s="24"/>
      <c r="AD354" s="24"/>
      <c r="AE354" s="24"/>
      <c r="AF354" s="26"/>
      <c r="AG354" s="26"/>
      <c r="AH354" s="26"/>
      <c r="AI354" s="327" t="s">
        <v>698</v>
      </c>
      <c r="AJ354" s="330">
        <v>7</v>
      </c>
      <c r="AK354" s="329">
        <v>0.314</v>
      </c>
      <c r="AL354" s="330">
        <v>2.19</v>
      </c>
      <c r="AM354" s="329">
        <v>0.366</v>
      </c>
      <c r="AN354" s="331">
        <v>0.875</v>
      </c>
      <c r="AO354" s="330">
        <v>6.92</v>
      </c>
      <c r="AP354" s="330">
        <v>8.46</v>
      </c>
    </row>
    <row r="355" spans="20:42" ht="12.75">
      <c r="T355" s="24"/>
      <c r="U355" s="24"/>
      <c r="V355" s="24"/>
      <c r="W355" s="24"/>
      <c r="X355" s="24"/>
      <c r="Y355" s="29"/>
      <c r="Z355" s="24"/>
      <c r="AA355" s="24"/>
      <c r="AB355" s="24"/>
      <c r="AC355" s="24"/>
      <c r="AD355" s="24"/>
      <c r="AE355" s="24"/>
      <c r="AF355" s="26"/>
      <c r="AG355" s="26"/>
      <c r="AH355" s="26"/>
      <c r="AI355" s="327" t="s">
        <v>699</v>
      </c>
      <c r="AJ355" s="330">
        <v>7</v>
      </c>
      <c r="AK355" s="329">
        <v>0.21</v>
      </c>
      <c r="AL355" s="330">
        <v>2.09</v>
      </c>
      <c r="AM355" s="329">
        <v>0.366</v>
      </c>
      <c r="AN355" s="331">
        <v>0.875</v>
      </c>
      <c r="AO355" s="330">
        <v>6.07</v>
      </c>
      <c r="AP355" s="330">
        <v>7.19</v>
      </c>
    </row>
    <row r="356" spans="20:42" ht="12.75">
      <c r="T356" s="24"/>
      <c r="U356" s="24"/>
      <c r="V356" s="24"/>
      <c r="W356" s="24"/>
      <c r="X356" s="24"/>
      <c r="Y356" s="29"/>
      <c r="Z356" s="24"/>
      <c r="AA356" s="24"/>
      <c r="AB356" s="24"/>
      <c r="AC356" s="24"/>
      <c r="AD356" s="24"/>
      <c r="AE356" s="24"/>
      <c r="AF356" s="26"/>
      <c r="AG356" s="26"/>
      <c r="AH356" s="26"/>
      <c r="AI356" s="327" t="s">
        <v>700</v>
      </c>
      <c r="AJ356" s="330">
        <v>6</v>
      </c>
      <c r="AK356" s="329">
        <v>0.437</v>
      </c>
      <c r="AL356" s="330">
        <v>2.16</v>
      </c>
      <c r="AM356" s="329">
        <v>0.343</v>
      </c>
      <c r="AN356" s="331">
        <v>0.8125</v>
      </c>
      <c r="AO356" s="330">
        <v>5.78</v>
      </c>
      <c r="AP356" s="330">
        <v>7.29</v>
      </c>
    </row>
    <row r="357" spans="20:42" ht="12.75">
      <c r="T357" s="24"/>
      <c r="U357" s="24"/>
      <c r="V357" s="24"/>
      <c r="W357" s="24"/>
      <c r="X357" s="24"/>
      <c r="Y357" s="29"/>
      <c r="Z357" s="24"/>
      <c r="AA357" s="24"/>
      <c r="AB357" s="24"/>
      <c r="AC357" s="24"/>
      <c r="AD357" s="24"/>
      <c r="AE357" s="24"/>
      <c r="AF357" s="26"/>
      <c r="AG357" s="26"/>
      <c r="AH357" s="26"/>
      <c r="AI357" s="327" t="s">
        <v>701</v>
      </c>
      <c r="AJ357" s="330">
        <v>6</v>
      </c>
      <c r="AK357" s="329">
        <v>0.314</v>
      </c>
      <c r="AL357" s="330">
        <v>2.03</v>
      </c>
      <c r="AM357" s="329">
        <v>0.343</v>
      </c>
      <c r="AN357" s="331">
        <v>0.8125</v>
      </c>
      <c r="AO357" s="330">
        <v>5.04</v>
      </c>
      <c r="AP357" s="330">
        <v>6.18</v>
      </c>
    </row>
    <row r="358" spans="20:42" ht="12.75">
      <c r="T358" s="24"/>
      <c r="U358" s="24"/>
      <c r="V358" s="24"/>
      <c r="W358" s="24"/>
      <c r="X358" s="24"/>
      <c r="Y358" s="29"/>
      <c r="Z358" s="24"/>
      <c r="AA358" s="24"/>
      <c r="AB358" s="24"/>
      <c r="AC358" s="24"/>
      <c r="AD358" s="24"/>
      <c r="AE358" s="24"/>
      <c r="AF358" s="26"/>
      <c r="AG358" s="26"/>
      <c r="AH358" s="26"/>
      <c r="AI358" s="327" t="s">
        <v>702</v>
      </c>
      <c r="AJ358" s="330">
        <v>6</v>
      </c>
      <c r="AK358" s="329">
        <v>0.2</v>
      </c>
      <c r="AL358" s="330">
        <v>1.92</v>
      </c>
      <c r="AM358" s="329">
        <v>0.343</v>
      </c>
      <c r="AN358" s="331">
        <v>0.8125</v>
      </c>
      <c r="AO358" s="330">
        <v>4.35</v>
      </c>
      <c r="AP358" s="330">
        <v>5.16</v>
      </c>
    </row>
    <row r="359" spans="20:42" ht="12.75">
      <c r="T359" s="24"/>
      <c r="U359" s="24"/>
      <c r="V359" s="24"/>
      <c r="W359" s="24"/>
      <c r="X359" s="24"/>
      <c r="Y359" s="29"/>
      <c r="Z359" s="24"/>
      <c r="AA359" s="24"/>
      <c r="AB359" s="24"/>
      <c r="AC359" s="24"/>
      <c r="AD359" s="24"/>
      <c r="AE359" s="24"/>
      <c r="AF359" s="26"/>
      <c r="AG359" s="26"/>
      <c r="AH359" s="26"/>
      <c r="AI359" s="327" t="s">
        <v>703</v>
      </c>
      <c r="AJ359" s="330">
        <v>5</v>
      </c>
      <c r="AK359" s="329">
        <v>0.325</v>
      </c>
      <c r="AL359" s="330">
        <v>1.89</v>
      </c>
      <c r="AM359" s="329">
        <v>0.32</v>
      </c>
      <c r="AN359" s="331">
        <v>0.75</v>
      </c>
      <c r="AO359" s="330">
        <v>3.56</v>
      </c>
      <c r="AP359" s="330">
        <v>4.39</v>
      </c>
    </row>
    <row r="360" spans="20:42" ht="12.75">
      <c r="T360" s="24"/>
      <c r="U360" s="24"/>
      <c r="V360" s="24"/>
      <c r="W360" s="24"/>
      <c r="X360" s="24"/>
      <c r="Y360" s="29"/>
      <c r="Z360" s="24"/>
      <c r="AA360" s="24"/>
      <c r="AB360" s="24"/>
      <c r="AC360" s="24"/>
      <c r="AD360" s="24"/>
      <c r="AE360" s="24"/>
      <c r="AF360" s="26"/>
      <c r="AG360" s="26"/>
      <c r="AH360" s="26"/>
      <c r="AI360" s="327" t="s">
        <v>704</v>
      </c>
      <c r="AJ360" s="330">
        <v>5</v>
      </c>
      <c r="AK360" s="329">
        <v>0.19</v>
      </c>
      <c r="AL360" s="330">
        <v>1.75</v>
      </c>
      <c r="AM360" s="329">
        <v>0.32</v>
      </c>
      <c r="AN360" s="331">
        <v>0.75</v>
      </c>
      <c r="AO360" s="330">
        <v>2.99</v>
      </c>
      <c r="AP360" s="330">
        <v>3.55</v>
      </c>
    </row>
    <row r="361" spans="20:42" ht="12.75">
      <c r="T361" s="24"/>
      <c r="U361" s="24"/>
      <c r="V361" s="24"/>
      <c r="W361" s="24"/>
      <c r="X361" s="24"/>
      <c r="Y361" s="29"/>
      <c r="Z361" s="24"/>
      <c r="AA361" s="24"/>
      <c r="AB361" s="24"/>
      <c r="AC361" s="24"/>
      <c r="AD361" s="24"/>
      <c r="AE361" s="24"/>
      <c r="AF361" s="26"/>
      <c r="AG361" s="26"/>
      <c r="AH361" s="26"/>
      <c r="AI361" s="327" t="s">
        <v>705</v>
      </c>
      <c r="AJ361" s="330">
        <v>4</v>
      </c>
      <c r="AK361" s="329">
        <v>0.321</v>
      </c>
      <c r="AL361" s="330">
        <v>1.72</v>
      </c>
      <c r="AM361" s="329">
        <v>0.296</v>
      </c>
      <c r="AN361" s="331">
        <v>0.75</v>
      </c>
      <c r="AO361" s="330">
        <v>2.29</v>
      </c>
      <c r="AP361" s="330">
        <v>2.84</v>
      </c>
    </row>
    <row r="362" spans="20:42" ht="12.75">
      <c r="T362" s="24"/>
      <c r="U362" s="24"/>
      <c r="V362" s="24"/>
      <c r="W362" s="24"/>
      <c r="X362" s="24"/>
      <c r="Y362" s="29"/>
      <c r="Z362" s="24"/>
      <c r="AA362" s="24"/>
      <c r="AB362" s="24"/>
      <c r="AC362" s="24"/>
      <c r="AD362" s="24"/>
      <c r="AE362" s="24"/>
      <c r="AF362" s="26"/>
      <c r="AG362" s="26"/>
      <c r="AH362" s="26"/>
      <c r="AI362" s="327" t="s">
        <v>706</v>
      </c>
      <c r="AJ362" s="330">
        <v>4</v>
      </c>
      <c r="AK362" s="329">
        <v>0.184</v>
      </c>
      <c r="AL362" s="330">
        <v>1.58</v>
      </c>
      <c r="AM362" s="329">
        <v>0.296</v>
      </c>
      <c r="AN362" s="331">
        <v>0.75</v>
      </c>
      <c r="AO362" s="330">
        <v>1.92</v>
      </c>
      <c r="AP362" s="330">
        <v>2.29</v>
      </c>
    </row>
    <row r="363" spans="20:42" ht="12.75">
      <c r="T363" s="24"/>
      <c r="U363" s="24"/>
      <c r="V363" s="24"/>
      <c r="W363" s="24"/>
      <c r="X363" s="24"/>
      <c r="Y363" s="29"/>
      <c r="Z363" s="24"/>
      <c r="AA363" s="24"/>
      <c r="AB363" s="24"/>
      <c r="AC363" s="24"/>
      <c r="AD363" s="24"/>
      <c r="AE363" s="24"/>
      <c r="AF363" s="26"/>
      <c r="AG363" s="26"/>
      <c r="AH363" s="26"/>
      <c r="AI363" s="327" t="s">
        <v>707</v>
      </c>
      <c r="AJ363" s="330">
        <v>4</v>
      </c>
      <c r="AK363" s="329">
        <v>0.125</v>
      </c>
      <c r="AL363" s="330">
        <v>1.58</v>
      </c>
      <c r="AM363" s="329">
        <v>0.296</v>
      </c>
      <c r="AN363" s="331">
        <v>0.75</v>
      </c>
      <c r="AO363" s="330">
        <v>1.83</v>
      </c>
      <c r="AP363" s="330">
        <v>2.12</v>
      </c>
    </row>
    <row r="364" spans="20:42" ht="12.75">
      <c r="T364" s="24"/>
      <c r="U364" s="24"/>
      <c r="V364" s="24"/>
      <c r="W364" s="24"/>
      <c r="X364" s="24"/>
      <c r="Y364" s="29"/>
      <c r="Z364" s="24"/>
      <c r="AA364" s="24"/>
      <c r="AB364" s="24"/>
      <c r="AC364" s="24"/>
      <c r="AD364" s="24"/>
      <c r="AE364" s="24"/>
      <c r="AF364" s="26"/>
      <c r="AG364" s="26"/>
      <c r="AH364" s="26"/>
      <c r="AI364" s="327" t="s">
        <v>708</v>
      </c>
      <c r="AJ364" s="330">
        <v>3</v>
      </c>
      <c r="AK364" s="329">
        <v>0.356</v>
      </c>
      <c r="AL364" s="330">
        <v>1.6</v>
      </c>
      <c r="AM364" s="329">
        <v>0.273</v>
      </c>
      <c r="AN364" s="331">
        <v>0.6875</v>
      </c>
      <c r="AO364" s="330">
        <v>1.38</v>
      </c>
      <c r="AP364" s="330">
        <v>1.74</v>
      </c>
    </row>
    <row r="365" spans="20:42" ht="12.75">
      <c r="T365" s="24"/>
      <c r="U365" s="24"/>
      <c r="V365" s="24"/>
      <c r="W365" s="24"/>
      <c r="X365" s="24"/>
      <c r="Y365" s="29"/>
      <c r="Z365" s="24"/>
      <c r="AA365" s="24"/>
      <c r="AB365" s="24"/>
      <c r="AC365" s="24"/>
      <c r="AD365" s="24"/>
      <c r="AE365" s="24"/>
      <c r="AF365" s="26"/>
      <c r="AG365" s="26"/>
      <c r="AH365" s="26"/>
      <c r="AI365" s="327" t="s">
        <v>709</v>
      </c>
      <c r="AJ365" s="330">
        <v>3</v>
      </c>
      <c r="AK365" s="329">
        <v>0.258</v>
      </c>
      <c r="AL365" s="330">
        <v>1.5</v>
      </c>
      <c r="AM365" s="329">
        <v>0.273</v>
      </c>
      <c r="AN365" s="331">
        <v>0.6875</v>
      </c>
      <c r="AO365" s="330">
        <v>1.23</v>
      </c>
      <c r="AP365" s="330">
        <v>1.52</v>
      </c>
    </row>
    <row r="366" spans="20:42" ht="12.75">
      <c r="T366" s="24"/>
      <c r="U366" s="24"/>
      <c r="V366" s="24"/>
      <c r="W366" s="24"/>
      <c r="X366" s="24"/>
      <c r="Y366" s="29"/>
      <c r="Z366" s="24"/>
      <c r="AA366" s="24"/>
      <c r="AB366" s="24"/>
      <c r="AC366" s="24"/>
      <c r="AD366" s="24"/>
      <c r="AE366" s="24"/>
      <c r="AF366" s="26"/>
      <c r="AG366" s="26"/>
      <c r="AH366" s="26"/>
      <c r="AI366" s="327" t="s">
        <v>710</v>
      </c>
      <c r="AJ366" s="330">
        <v>3</v>
      </c>
      <c r="AK366" s="329">
        <v>0.17</v>
      </c>
      <c r="AL366" s="330">
        <v>1.41</v>
      </c>
      <c r="AM366" s="329">
        <v>0.273</v>
      </c>
      <c r="AN366" s="331">
        <v>0.6875</v>
      </c>
      <c r="AO366" s="330">
        <v>1.1</v>
      </c>
      <c r="AP366" s="330">
        <v>1.32</v>
      </c>
    </row>
    <row r="367" spans="20:42" ht="12.75">
      <c r="T367" s="24"/>
      <c r="U367" s="24"/>
      <c r="V367" s="24"/>
      <c r="W367" s="24"/>
      <c r="X367" s="24"/>
      <c r="Y367" s="29"/>
      <c r="Z367" s="24"/>
      <c r="AA367" s="24"/>
      <c r="AB367" s="24"/>
      <c r="AC367" s="24"/>
      <c r="AD367" s="24"/>
      <c r="AE367" s="24"/>
      <c r="AF367" s="26"/>
      <c r="AG367" s="26"/>
      <c r="AH367" s="26"/>
      <c r="AI367" s="364" t="s">
        <v>711</v>
      </c>
      <c r="AJ367" s="365">
        <v>3</v>
      </c>
      <c r="AK367" s="366">
        <v>0.132</v>
      </c>
      <c r="AL367" s="365">
        <v>1.37</v>
      </c>
      <c r="AM367" s="366">
        <v>0.273</v>
      </c>
      <c r="AN367" s="376">
        <v>0.6875</v>
      </c>
      <c r="AO367" s="365">
        <v>1.04</v>
      </c>
      <c r="AP367" s="365">
        <v>1.24</v>
      </c>
    </row>
    <row r="368" spans="20:42" ht="12.75">
      <c r="T368" s="24"/>
      <c r="U368" s="24"/>
      <c r="V368" s="24"/>
      <c r="W368" s="24"/>
      <c r="X368" s="24"/>
      <c r="Y368" s="29"/>
      <c r="Z368" s="24"/>
      <c r="AA368" s="24"/>
      <c r="AB368" s="24"/>
      <c r="AC368" s="24"/>
      <c r="AD368" s="24"/>
      <c r="AE368" s="24"/>
      <c r="AF368" s="26"/>
      <c r="AG368" s="26"/>
      <c r="AH368" s="26"/>
      <c r="AI368" s="367" t="s">
        <v>712</v>
      </c>
      <c r="AJ368" s="368">
        <v>18</v>
      </c>
      <c r="AK368" s="369">
        <v>0.7</v>
      </c>
      <c r="AL368" s="370">
        <v>4.2</v>
      </c>
      <c r="AM368" s="369">
        <v>0.625</v>
      </c>
      <c r="AN368" s="373">
        <v>1.4375</v>
      </c>
      <c r="AO368" s="368">
        <v>75</v>
      </c>
      <c r="AP368" s="368">
        <v>95.4</v>
      </c>
    </row>
    <row r="369" spans="20:42" ht="12.75">
      <c r="T369" s="24"/>
      <c r="U369" s="24"/>
      <c r="V369" s="24"/>
      <c r="W369" s="24"/>
      <c r="X369" s="24"/>
      <c r="Y369" s="29"/>
      <c r="Z369" s="24"/>
      <c r="AA369" s="24"/>
      <c r="AB369" s="24"/>
      <c r="AC369" s="24"/>
      <c r="AD369" s="24"/>
      <c r="AE369" s="24"/>
      <c r="AF369" s="26"/>
      <c r="AG369" s="26"/>
      <c r="AH369" s="26"/>
      <c r="AI369" s="327" t="s">
        <v>713</v>
      </c>
      <c r="AJ369" s="328">
        <v>18</v>
      </c>
      <c r="AK369" s="329">
        <v>0.6</v>
      </c>
      <c r="AL369" s="330">
        <v>4.1</v>
      </c>
      <c r="AM369" s="329">
        <v>0.625</v>
      </c>
      <c r="AN369" s="331">
        <v>1.4375</v>
      </c>
      <c r="AO369" s="328">
        <v>69.6</v>
      </c>
      <c r="AP369" s="328">
        <v>87.3</v>
      </c>
    </row>
    <row r="370" spans="20:42" ht="12.75">
      <c r="T370" s="24"/>
      <c r="U370" s="24"/>
      <c r="V370" s="24"/>
      <c r="W370" s="24"/>
      <c r="X370" s="24"/>
      <c r="Y370" s="29"/>
      <c r="Z370" s="24"/>
      <c r="AA370" s="24"/>
      <c r="AB370" s="24"/>
      <c r="AC370" s="24"/>
      <c r="AD370" s="24"/>
      <c r="AE370" s="24"/>
      <c r="AF370" s="26"/>
      <c r="AG370" s="26"/>
      <c r="AH370" s="26"/>
      <c r="AI370" s="327" t="s">
        <v>714</v>
      </c>
      <c r="AJ370" s="328">
        <v>18</v>
      </c>
      <c r="AK370" s="329">
        <v>0.5</v>
      </c>
      <c r="AL370" s="330">
        <v>4</v>
      </c>
      <c r="AM370" s="329">
        <v>0.625</v>
      </c>
      <c r="AN370" s="331">
        <v>1.4375</v>
      </c>
      <c r="AO370" s="328">
        <v>64.2</v>
      </c>
      <c r="AP370" s="328">
        <v>79.2</v>
      </c>
    </row>
    <row r="371" spans="20:42" ht="12.75">
      <c r="T371" s="24"/>
      <c r="U371" s="24"/>
      <c r="V371" s="24"/>
      <c r="W371" s="24"/>
      <c r="X371" s="24"/>
      <c r="Y371" s="29"/>
      <c r="Z371" s="24"/>
      <c r="AA371" s="24"/>
      <c r="AB371" s="24"/>
      <c r="AC371" s="24"/>
      <c r="AD371" s="24"/>
      <c r="AE371" s="24"/>
      <c r="AF371" s="26"/>
      <c r="AG371" s="26"/>
      <c r="AH371" s="26"/>
      <c r="AI371" s="327" t="s">
        <v>715</v>
      </c>
      <c r="AJ371" s="328">
        <v>18</v>
      </c>
      <c r="AK371" s="329">
        <v>0.45</v>
      </c>
      <c r="AL371" s="330">
        <v>3.95</v>
      </c>
      <c r="AM371" s="329">
        <v>0.625</v>
      </c>
      <c r="AN371" s="331">
        <v>1.4375</v>
      </c>
      <c r="AO371" s="328">
        <v>61.5</v>
      </c>
      <c r="AP371" s="328">
        <v>75.1</v>
      </c>
    </row>
    <row r="372" spans="20:42" ht="12.75">
      <c r="T372" s="24"/>
      <c r="U372" s="24"/>
      <c r="V372" s="24"/>
      <c r="W372" s="24"/>
      <c r="X372" s="24"/>
      <c r="Y372" s="29"/>
      <c r="Z372" s="24"/>
      <c r="AA372" s="24"/>
      <c r="AB372" s="24"/>
      <c r="AC372" s="24"/>
      <c r="AD372" s="24"/>
      <c r="AE372" s="24"/>
      <c r="AF372" s="26"/>
      <c r="AG372" s="26"/>
      <c r="AH372" s="26"/>
      <c r="AI372" s="327" t="s">
        <v>716</v>
      </c>
      <c r="AJ372" s="328">
        <v>13</v>
      </c>
      <c r="AK372" s="329">
        <v>0.787</v>
      </c>
      <c r="AL372" s="330">
        <v>4.41</v>
      </c>
      <c r="AM372" s="329">
        <v>0.61</v>
      </c>
      <c r="AN372" s="331">
        <v>1.4375</v>
      </c>
      <c r="AO372" s="328">
        <v>48.3</v>
      </c>
      <c r="AP372" s="328">
        <v>60.8</v>
      </c>
    </row>
    <row r="373" spans="20:42" ht="12.75">
      <c r="T373" s="24"/>
      <c r="U373" s="24"/>
      <c r="V373" s="24"/>
      <c r="W373" s="24"/>
      <c r="X373" s="24"/>
      <c r="Y373" s="29"/>
      <c r="Z373" s="24"/>
      <c r="AA373" s="24"/>
      <c r="AB373" s="24"/>
      <c r="AC373" s="24"/>
      <c r="AD373" s="24"/>
      <c r="AE373" s="24"/>
      <c r="AF373" s="26"/>
      <c r="AG373" s="26"/>
      <c r="AH373" s="26"/>
      <c r="AI373" s="327" t="s">
        <v>717</v>
      </c>
      <c r="AJ373" s="328">
        <v>13</v>
      </c>
      <c r="AK373" s="329">
        <v>0.56</v>
      </c>
      <c r="AL373" s="330">
        <v>4.19</v>
      </c>
      <c r="AM373" s="329">
        <v>0.61</v>
      </c>
      <c r="AN373" s="331">
        <v>1.4375</v>
      </c>
      <c r="AO373" s="328">
        <v>41.9</v>
      </c>
      <c r="AP373" s="328">
        <v>51.2</v>
      </c>
    </row>
    <row r="374" spans="20:42" ht="12.75">
      <c r="T374" s="24"/>
      <c r="U374" s="24"/>
      <c r="V374" s="24"/>
      <c r="W374" s="24"/>
      <c r="X374" s="24"/>
      <c r="Y374" s="29"/>
      <c r="Z374" s="24"/>
      <c r="AA374" s="24"/>
      <c r="AB374" s="24"/>
      <c r="AC374" s="24"/>
      <c r="AD374" s="24"/>
      <c r="AE374" s="24"/>
      <c r="AF374" s="26"/>
      <c r="AG374" s="26"/>
      <c r="AH374" s="26"/>
      <c r="AI374" s="327" t="s">
        <v>718</v>
      </c>
      <c r="AJ374" s="328">
        <v>13</v>
      </c>
      <c r="AK374" s="329">
        <v>0.447</v>
      </c>
      <c r="AL374" s="330">
        <v>4.07</v>
      </c>
      <c r="AM374" s="329">
        <v>0.61</v>
      </c>
      <c r="AN374" s="331">
        <v>1.4375</v>
      </c>
      <c r="AO374" s="328">
        <v>38.8</v>
      </c>
      <c r="AP374" s="328">
        <v>46.5</v>
      </c>
    </row>
    <row r="375" spans="20:42" ht="12.75">
      <c r="T375" s="24"/>
      <c r="U375" s="24"/>
      <c r="V375" s="24"/>
      <c r="W375" s="24"/>
      <c r="X375" s="24"/>
      <c r="Y375" s="29"/>
      <c r="Z375" s="24"/>
      <c r="AA375" s="24"/>
      <c r="AB375" s="24"/>
      <c r="AC375" s="24"/>
      <c r="AD375" s="24"/>
      <c r="AE375" s="24"/>
      <c r="AF375" s="26"/>
      <c r="AG375" s="26"/>
      <c r="AH375" s="26"/>
      <c r="AI375" s="327" t="s">
        <v>719</v>
      </c>
      <c r="AJ375" s="328">
        <v>13</v>
      </c>
      <c r="AK375" s="329">
        <v>0.375</v>
      </c>
      <c r="AL375" s="330">
        <v>4</v>
      </c>
      <c r="AM375" s="329">
        <v>0.61</v>
      </c>
      <c r="AN375" s="331">
        <v>1.4375</v>
      </c>
      <c r="AO375" s="328">
        <v>36.7</v>
      </c>
      <c r="AP375" s="328">
        <v>43.4</v>
      </c>
    </row>
    <row r="376" spans="20:42" ht="12.75">
      <c r="T376" s="24"/>
      <c r="U376" s="24"/>
      <c r="V376" s="24"/>
      <c r="W376" s="24"/>
      <c r="X376" s="24"/>
      <c r="Y376" s="29"/>
      <c r="Z376" s="24"/>
      <c r="AA376" s="24"/>
      <c r="AB376" s="24"/>
      <c r="AC376" s="24"/>
      <c r="AD376" s="24"/>
      <c r="AE376" s="24"/>
      <c r="AF376" s="26"/>
      <c r="AG376" s="26"/>
      <c r="AH376" s="26"/>
      <c r="AI376" s="327" t="s">
        <v>720</v>
      </c>
      <c r="AJ376" s="328">
        <v>12</v>
      </c>
      <c r="AK376" s="329">
        <v>0.835</v>
      </c>
      <c r="AL376" s="330">
        <v>4.14</v>
      </c>
      <c r="AM376" s="329">
        <v>0.7</v>
      </c>
      <c r="AN376" s="331">
        <v>1.3125</v>
      </c>
      <c r="AO376" s="328">
        <v>44.9</v>
      </c>
      <c r="AP376" s="328">
        <v>56.5</v>
      </c>
    </row>
    <row r="377" spans="20:42" ht="12.75">
      <c r="T377" s="24"/>
      <c r="U377" s="24"/>
      <c r="V377" s="24"/>
      <c r="W377" s="24"/>
      <c r="X377" s="24"/>
      <c r="Y377" s="29"/>
      <c r="Z377" s="24"/>
      <c r="AA377" s="24"/>
      <c r="AB377" s="24"/>
      <c r="AC377" s="24"/>
      <c r="AD377" s="24"/>
      <c r="AE377" s="24"/>
      <c r="AF377" s="26"/>
      <c r="AG377" s="26"/>
      <c r="AH377" s="26"/>
      <c r="AI377" s="327" t="s">
        <v>721</v>
      </c>
      <c r="AJ377" s="328">
        <v>12</v>
      </c>
      <c r="AK377" s="329">
        <v>0.71</v>
      </c>
      <c r="AL377" s="330">
        <v>4.01</v>
      </c>
      <c r="AM377" s="329">
        <v>0.7</v>
      </c>
      <c r="AN377" s="331">
        <v>1.3125</v>
      </c>
      <c r="AO377" s="328">
        <v>41.9</v>
      </c>
      <c r="AP377" s="328">
        <v>52</v>
      </c>
    </row>
    <row r="378" spans="20:42" ht="12.75">
      <c r="T378" s="24"/>
      <c r="U378" s="24"/>
      <c r="V378" s="24"/>
      <c r="W378" s="24"/>
      <c r="X378" s="24"/>
      <c r="Y378" s="29"/>
      <c r="Z378" s="24"/>
      <c r="AA378" s="24"/>
      <c r="AB378" s="24"/>
      <c r="AC378" s="24"/>
      <c r="AD378" s="24"/>
      <c r="AE378" s="24"/>
      <c r="AF378" s="26"/>
      <c r="AG378" s="26"/>
      <c r="AH378" s="26"/>
      <c r="AI378" s="327" t="s">
        <v>722</v>
      </c>
      <c r="AJ378" s="328">
        <v>12</v>
      </c>
      <c r="AK378" s="329">
        <v>0.59</v>
      </c>
      <c r="AL378" s="330">
        <v>3.89</v>
      </c>
      <c r="AM378" s="329">
        <v>0.7</v>
      </c>
      <c r="AN378" s="331">
        <v>1.3125</v>
      </c>
      <c r="AO378" s="328">
        <v>39</v>
      </c>
      <c r="AP378" s="328">
        <v>47.7</v>
      </c>
    </row>
    <row r="379" spans="20:42" ht="12.75">
      <c r="T379" s="24"/>
      <c r="U379" s="24"/>
      <c r="V379" s="24"/>
      <c r="W379" s="24"/>
      <c r="X379" s="24"/>
      <c r="Y379" s="29"/>
      <c r="Z379" s="24"/>
      <c r="AA379" s="24"/>
      <c r="AB379" s="24"/>
      <c r="AC379" s="24"/>
      <c r="AD379" s="24"/>
      <c r="AE379" s="24"/>
      <c r="AF379" s="26"/>
      <c r="AG379" s="26"/>
      <c r="AH379" s="26"/>
      <c r="AI379" s="327" t="s">
        <v>723</v>
      </c>
      <c r="AJ379" s="328">
        <v>12</v>
      </c>
      <c r="AK379" s="329">
        <v>0.465</v>
      </c>
      <c r="AL379" s="330">
        <v>3.77</v>
      </c>
      <c r="AM379" s="329">
        <v>0.7</v>
      </c>
      <c r="AN379" s="331">
        <v>1.3125</v>
      </c>
      <c r="AO379" s="328">
        <v>36</v>
      </c>
      <c r="AP379" s="328">
        <v>43.2</v>
      </c>
    </row>
    <row r="380" spans="20:42" ht="12.75">
      <c r="T380" s="24"/>
      <c r="U380" s="24"/>
      <c r="V380" s="24"/>
      <c r="W380" s="24"/>
      <c r="X380" s="24"/>
      <c r="Y380" s="29"/>
      <c r="Z380" s="24"/>
      <c r="AA380" s="24"/>
      <c r="AB380" s="24"/>
      <c r="AC380" s="24"/>
      <c r="AD380" s="24"/>
      <c r="AE380" s="24"/>
      <c r="AF380" s="26"/>
      <c r="AG380" s="26"/>
      <c r="AH380" s="26"/>
      <c r="AI380" s="327" t="s">
        <v>724</v>
      </c>
      <c r="AJ380" s="328">
        <v>12</v>
      </c>
      <c r="AK380" s="329">
        <v>0.37</v>
      </c>
      <c r="AL380" s="330">
        <v>3.67</v>
      </c>
      <c r="AM380" s="329">
        <v>0.7</v>
      </c>
      <c r="AN380" s="331">
        <v>1.3125</v>
      </c>
      <c r="AO380" s="328">
        <v>33.7</v>
      </c>
      <c r="AP380" s="328">
        <v>39.7</v>
      </c>
    </row>
    <row r="381" spans="20:42" ht="12.75">
      <c r="T381" s="24"/>
      <c r="U381" s="24"/>
      <c r="V381" s="24"/>
      <c r="W381" s="24"/>
      <c r="X381" s="24"/>
      <c r="Y381" s="29"/>
      <c r="Z381" s="24"/>
      <c r="AA381" s="24"/>
      <c r="AB381" s="24"/>
      <c r="AC381" s="24"/>
      <c r="AD381" s="24"/>
      <c r="AE381" s="24"/>
      <c r="AF381" s="26"/>
      <c r="AG381" s="26"/>
      <c r="AH381" s="26"/>
      <c r="AI381" s="327" t="s">
        <v>725</v>
      </c>
      <c r="AJ381" s="328">
        <v>12</v>
      </c>
      <c r="AK381" s="329">
        <v>0.19</v>
      </c>
      <c r="AL381" s="330">
        <v>1.5</v>
      </c>
      <c r="AM381" s="329">
        <v>0.309</v>
      </c>
      <c r="AN381" s="331">
        <v>0.75</v>
      </c>
      <c r="AO381" s="330">
        <v>9.22</v>
      </c>
      <c r="AP381" s="328">
        <v>11.6</v>
      </c>
    </row>
    <row r="382" spans="20:42" ht="12.75">
      <c r="T382" s="24"/>
      <c r="U382" s="24"/>
      <c r="V382" s="24"/>
      <c r="W382" s="24"/>
      <c r="X382" s="24"/>
      <c r="Y382" s="29"/>
      <c r="Z382" s="24"/>
      <c r="AA382" s="24"/>
      <c r="AB382" s="24"/>
      <c r="AC382" s="24"/>
      <c r="AD382" s="24"/>
      <c r="AE382" s="24"/>
      <c r="AF382" s="26"/>
      <c r="AG382" s="26"/>
      <c r="AH382" s="26"/>
      <c r="AI382" s="327" t="s">
        <v>726</v>
      </c>
      <c r="AJ382" s="328">
        <v>10</v>
      </c>
      <c r="AK382" s="329">
        <v>0.796</v>
      </c>
      <c r="AL382" s="330">
        <v>4.32</v>
      </c>
      <c r="AM382" s="329">
        <v>0.575</v>
      </c>
      <c r="AN382" s="331">
        <v>1.3125</v>
      </c>
      <c r="AO382" s="328">
        <v>31.5</v>
      </c>
      <c r="AP382" s="328">
        <v>39.3</v>
      </c>
    </row>
    <row r="383" spans="20:42" ht="12.75">
      <c r="T383" s="24"/>
      <c r="U383" s="24"/>
      <c r="V383" s="24"/>
      <c r="W383" s="24"/>
      <c r="X383" s="24"/>
      <c r="Y383" s="29"/>
      <c r="Z383" s="24"/>
      <c r="AA383" s="24"/>
      <c r="AB383" s="24"/>
      <c r="AC383" s="24"/>
      <c r="AD383" s="24"/>
      <c r="AE383" s="24"/>
      <c r="AF383" s="26"/>
      <c r="AG383" s="26"/>
      <c r="AH383" s="26"/>
      <c r="AI383" s="327" t="s">
        <v>727</v>
      </c>
      <c r="AJ383" s="328">
        <v>10</v>
      </c>
      <c r="AK383" s="329">
        <v>0.575</v>
      </c>
      <c r="AL383" s="330">
        <v>4.1</v>
      </c>
      <c r="AM383" s="329">
        <v>0.575</v>
      </c>
      <c r="AN383" s="331">
        <v>1.3125</v>
      </c>
      <c r="AO383" s="328">
        <v>27.8</v>
      </c>
      <c r="AP383" s="328">
        <v>33.7</v>
      </c>
    </row>
    <row r="384" spans="20:42" ht="12.75">
      <c r="T384" s="24"/>
      <c r="U384" s="24"/>
      <c r="V384" s="24"/>
      <c r="W384" s="24"/>
      <c r="X384" s="24"/>
      <c r="Y384" s="29"/>
      <c r="Z384" s="24"/>
      <c r="AA384" s="24"/>
      <c r="AB384" s="24"/>
      <c r="AC384" s="24"/>
      <c r="AD384" s="24"/>
      <c r="AE384" s="24"/>
      <c r="AF384" s="26"/>
      <c r="AG384" s="26"/>
      <c r="AH384" s="26"/>
      <c r="AI384" s="327" t="s">
        <v>728</v>
      </c>
      <c r="AJ384" s="328">
        <v>10</v>
      </c>
      <c r="AK384" s="329">
        <v>0.425</v>
      </c>
      <c r="AL384" s="330">
        <v>3.95</v>
      </c>
      <c r="AM384" s="329">
        <v>0.575</v>
      </c>
      <c r="AN384" s="331">
        <v>1.3125</v>
      </c>
      <c r="AO384" s="328">
        <v>25.3</v>
      </c>
      <c r="AP384" s="328">
        <v>30</v>
      </c>
    </row>
    <row r="385" spans="20:42" ht="12.75">
      <c r="T385" s="24"/>
      <c r="U385" s="24"/>
      <c r="V385" s="24"/>
      <c r="W385" s="24"/>
      <c r="X385" s="24"/>
      <c r="Y385" s="29"/>
      <c r="Z385" s="24"/>
      <c r="AA385" s="24"/>
      <c r="AB385" s="24"/>
      <c r="AC385" s="24"/>
      <c r="AD385" s="24"/>
      <c r="AE385" s="24"/>
      <c r="AF385" s="26"/>
      <c r="AG385" s="26"/>
      <c r="AH385" s="26"/>
      <c r="AI385" s="327" t="s">
        <v>729</v>
      </c>
      <c r="AJ385" s="328">
        <v>10</v>
      </c>
      <c r="AK385" s="329">
        <v>0.38</v>
      </c>
      <c r="AL385" s="330">
        <v>3.41</v>
      </c>
      <c r="AM385" s="329">
        <v>0.575</v>
      </c>
      <c r="AN385" s="331">
        <v>1.3125</v>
      </c>
      <c r="AO385" s="328">
        <v>22</v>
      </c>
      <c r="AP385" s="328">
        <v>26.2</v>
      </c>
    </row>
    <row r="386" spans="20:42" ht="12.75">
      <c r="T386" s="24"/>
      <c r="U386" s="24"/>
      <c r="V386" s="24"/>
      <c r="W386" s="24"/>
      <c r="X386" s="24"/>
      <c r="Y386" s="29"/>
      <c r="Z386" s="24"/>
      <c r="AA386" s="24"/>
      <c r="AB386" s="24"/>
      <c r="AC386" s="24"/>
      <c r="AD386" s="24"/>
      <c r="AE386" s="24"/>
      <c r="AF386" s="26"/>
      <c r="AG386" s="26"/>
      <c r="AH386" s="26"/>
      <c r="AI386" s="327" t="s">
        <v>730</v>
      </c>
      <c r="AJ386" s="328">
        <v>10</v>
      </c>
      <c r="AK386" s="329">
        <v>0.29</v>
      </c>
      <c r="AL386" s="330">
        <v>3.32</v>
      </c>
      <c r="AM386" s="329">
        <v>0.575</v>
      </c>
      <c r="AN386" s="331">
        <v>1.3125</v>
      </c>
      <c r="AO386" s="328">
        <v>20.5</v>
      </c>
      <c r="AP386" s="328">
        <v>23.9</v>
      </c>
    </row>
    <row r="387" spans="20:42" ht="12.75">
      <c r="T387" s="24"/>
      <c r="U387" s="24"/>
      <c r="V387" s="24"/>
      <c r="W387" s="24"/>
      <c r="X387" s="24"/>
      <c r="Y387" s="29"/>
      <c r="Z387" s="24"/>
      <c r="AA387" s="24"/>
      <c r="AB387" s="24"/>
      <c r="AC387" s="24"/>
      <c r="AD387" s="24"/>
      <c r="AE387" s="24"/>
      <c r="AF387" s="26"/>
      <c r="AG387" s="26"/>
      <c r="AH387" s="26"/>
      <c r="AI387" s="327" t="s">
        <v>731</v>
      </c>
      <c r="AJ387" s="328">
        <v>10</v>
      </c>
      <c r="AK387" s="329">
        <v>0.17</v>
      </c>
      <c r="AL387" s="330">
        <v>1.5</v>
      </c>
      <c r="AM387" s="329">
        <v>0.28</v>
      </c>
      <c r="AN387" s="331">
        <v>0.75</v>
      </c>
      <c r="AO387" s="330">
        <v>6.39</v>
      </c>
      <c r="AP387" s="330">
        <v>7.92</v>
      </c>
    </row>
    <row r="388" spans="20:42" ht="12.75">
      <c r="T388" s="24"/>
      <c r="U388" s="24"/>
      <c r="V388" s="24"/>
      <c r="W388" s="24"/>
      <c r="X388" s="24"/>
      <c r="Y388" s="29"/>
      <c r="Z388" s="24"/>
      <c r="AA388" s="24"/>
      <c r="AB388" s="24"/>
      <c r="AC388" s="24"/>
      <c r="AD388" s="24"/>
      <c r="AE388" s="24"/>
      <c r="AF388" s="26"/>
      <c r="AG388" s="26"/>
      <c r="AH388" s="26"/>
      <c r="AI388" s="327" t="s">
        <v>732</v>
      </c>
      <c r="AJ388" s="328">
        <v>10</v>
      </c>
      <c r="AK388" s="329">
        <v>0.152</v>
      </c>
      <c r="AL388" s="330">
        <v>1.17</v>
      </c>
      <c r="AM388" s="329">
        <v>0.202</v>
      </c>
      <c r="AN388" s="331">
        <v>0.5625</v>
      </c>
      <c r="AO388" s="330">
        <v>4.59</v>
      </c>
      <c r="AP388" s="330">
        <v>5.9</v>
      </c>
    </row>
    <row r="389" spans="20:42" ht="12.75">
      <c r="T389" s="24"/>
      <c r="U389" s="24"/>
      <c r="V389" s="24"/>
      <c r="W389" s="24"/>
      <c r="X389" s="24"/>
      <c r="Y389" s="29"/>
      <c r="Z389" s="24"/>
      <c r="AA389" s="24"/>
      <c r="AB389" s="24"/>
      <c r="AC389" s="24"/>
      <c r="AD389" s="24"/>
      <c r="AE389" s="24"/>
      <c r="AF389" s="26"/>
      <c r="AG389" s="26"/>
      <c r="AH389" s="26"/>
      <c r="AI389" s="327" t="s">
        <v>733</v>
      </c>
      <c r="AJ389" s="330">
        <v>9</v>
      </c>
      <c r="AK389" s="329">
        <v>0.45</v>
      </c>
      <c r="AL389" s="330">
        <v>3.5</v>
      </c>
      <c r="AM389" s="329">
        <v>0.55</v>
      </c>
      <c r="AN389" s="331">
        <v>1.25</v>
      </c>
      <c r="AO389" s="328">
        <v>19.5</v>
      </c>
      <c r="AP389" s="328">
        <v>23.5</v>
      </c>
    </row>
    <row r="390" spans="20:42" ht="12.75">
      <c r="T390" s="24"/>
      <c r="U390" s="24"/>
      <c r="V390" s="24"/>
      <c r="W390" s="24"/>
      <c r="X390" s="24"/>
      <c r="Y390" s="29"/>
      <c r="Z390" s="24"/>
      <c r="AA390" s="24"/>
      <c r="AB390" s="24"/>
      <c r="AC390" s="24"/>
      <c r="AD390" s="24"/>
      <c r="AE390" s="24"/>
      <c r="AF390" s="26"/>
      <c r="AG390" s="26"/>
      <c r="AH390" s="26"/>
      <c r="AI390" s="327" t="s">
        <v>734</v>
      </c>
      <c r="AJ390" s="330">
        <v>9</v>
      </c>
      <c r="AK390" s="329">
        <v>0.4</v>
      </c>
      <c r="AL390" s="330">
        <v>3.45</v>
      </c>
      <c r="AM390" s="329">
        <v>0.55</v>
      </c>
      <c r="AN390" s="331">
        <v>1.25</v>
      </c>
      <c r="AO390" s="328">
        <v>18.9</v>
      </c>
      <c r="AP390" s="328">
        <v>22.5</v>
      </c>
    </row>
    <row r="391" spans="20:42" ht="12.75">
      <c r="T391" s="24"/>
      <c r="U391" s="24"/>
      <c r="V391" s="24"/>
      <c r="W391" s="24"/>
      <c r="X391" s="24"/>
      <c r="Y391" s="29"/>
      <c r="Z391" s="24"/>
      <c r="AA391" s="24"/>
      <c r="AB391" s="24"/>
      <c r="AC391" s="24"/>
      <c r="AD391" s="24"/>
      <c r="AE391" s="24"/>
      <c r="AF391" s="26"/>
      <c r="AG391" s="26"/>
      <c r="AH391" s="26"/>
      <c r="AI391" s="327" t="s">
        <v>735</v>
      </c>
      <c r="AJ391" s="330">
        <v>8</v>
      </c>
      <c r="AK391" s="329">
        <v>0.427</v>
      </c>
      <c r="AL391" s="330">
        <v>3.5</v>
      </c>
      <c r="AM391" s="329">
        <v>0.525</v>
      </c>
      <c r="AN391" s="331">
        <v>1.1875</v>
      </c>
      <c r="AO391" s="328">
        <v>15.9</v>
      </c>
      <c r="AP391" s="328">
        <v>19.1</v>
      </c>
    </row>
    <row r="392" spans="20:42" ht="12.75">
      <c r="T392" s="24"/>
      <c r="U392" s="24"/>
      <c r="V392" s="24"/>
      <c r="W392" s="24"/>
      <c r="X392" s="24"/>
      <c r="Y392" s="29"/>
      <c r="Z392" s="24"/>
      <c r="AA392" s="24"/>
      <c r="AB392" s="24"/>
      <c r="AC392" s="24"/>
      <c r="AD392" s="24"/>
      <c r="AE392" s="24"/>
      <c r="AF392" s="26"/>
      <c r="AG392" s="26"/>
      <c r="AH392" s="26"/>
      <c r="AI392" s="327" t="s">
        <v>736</v>
      </c>
      <c r="AJ392" s="330">
        <v>8</v>
      </c>
      <c r="AK392" s="329">
        <v>0.375</v>
      </c>
      <c r="AL392" s="330">
        <v>3.45</v>
      </c>
      <c r="AM392" s="329">
        <v>0.525</v>
      </c>
      <c r="AN392" s="331">
        <v>1.1875</v>
      </c>
      <c r="AO392" s="328">
        <v>15.4</v>
      </c>
      <c r="AP392" s="328">
        <v>18.2</v>
      </c>
    </row>
    <row r="393" spans="20:42" ht="12.75">
      <c r="T393" s="24"/>
      <c r="U393" s="24"/>
      <c r="V393" s="24"/>
      <c r="W393" s="24"/>
      <c r="X393" s="24"/>
      <c r="Y393" s="29"/>
      <c r="Z393" s="24"/>
      <c r="AA393" s="24"/>
      <c r="AB393" s="24"/>
      <c r="AC393" s="24"/>
      <c r="AD393" s="24"/>
      <c r="AE393" s="24"/>
      <c r="AF393" s="26"/>
      <c r="AG393" s="26"/>
      <c r="AH393" s="26"/>
      <c r="AI393" s="327" t="s">
        <v>737</v>
      </c>
      <c r="AJ393" s="330">
        <v>8</v>
      </c>
      <c r="AK393" s="329">
        <v>0.4</v>
      </c>
      <c r="AL393" s="330">
        <v>3.03</v>
      </c>
      <c r="AM393" s="329">
        <v>0.5</v>
      </c>
      <c r="AN393" s="331">
        <v>1.125</v>
      </c>
      <c r="AO393" s="328">
        <v>13.6</v>
      </c>
      <c r="AP393" s="328">
        <v>16.4</v>
      </c>
    </row>
    <row r="394" spans="20:42" ht="12.75">
      <c r="T394" s="24"/>
      <c r="U394" s="24"/>
      <c r="V394" s="24"/>
      <c r="W394" s="24"/>
      <c r="X394" s="24"/>
      <c r="Y394" s="29"/>
      <c r="Z394" s="24"/>
      <c r="AA394" s="24"/>
      <c r="AB394" s="24"/>
      <c r="AC394" s="24"/>
      <c r="AD394" s="24"/>
      <c r="AE394" s="24"/>
      <c r="AF394" s="26"/>
      <c r="AG394" s="26"/>
      <c r="AH394" s="26"/>
      <c r="AI394" s="327" t="s">
        <v>738</v>
      </c>
      <c r="AJ394" s="330">
        <v>8</v>
      </c>
      <c r="AK394" s="329">
        <v>0.353</v>
      </c>
      <c r="AL394" s="330">
        <v>2.98</v>
      </c>
      <c r="AM394" s="329">
        <v>0.5</v>
      </c>
      <c r="AN394" s="331">
        <v>1.125</v>
      </c>
      <c r="AO394" s="328">
        <v>13.1</v>
      </c>
      <c r="AP394" s="328">
        <v>15.6</v>
      </c>
    </row>
    <row r="395" spans="20:42" ht="12.75">
      <c r="T395" s="24"/>
      <c r="U395" s="24"/>
      <c r="V395" s="24"/>
      <c r="W395" s="24"/>
      <c r="X395" s="24"/>
      <c r="Y395" s="29"/>
      <c r="Z395" s="24"/>
      <c r="AA395" s="24"/>
      <c r="AB395" s="24"/>
      <c r="AC395" s="24"/>
      <c r="AD395" s="24"/>
      <c r="AE395" s="24"/>
      <c r="AF395" s="26"/>
      <c r="AG395" s="26"/>
      <c r="AH395" s="26"/>
      <c r="AI395" s="327" t="s">
        <v>739</v>
      </c>
      <c r="AJ395" s="330">
        <v>8</v>
      </c>
      <c r="AK395" s="329">
        <v>0.179</v>
      </c>
      <c r="AL395" s="330">
        <v>1.87</v>
      </c>
      <c r="AM395" s="329">
        <v>0.311</v>
      </c>
      <c r="AN395" s="331">
        <v>0.8125</v>
      </c>
      <c r="AO395" s="330">
        <v>5.82</v>
      </c>
      <c r="AP395" s="330">
        <v>6.95</v>
      </c>
    </row>
    <row r="396" spans="20:42" ht="12.75">
      <c r="T396" s="24"/>
      <c r="U396" s="24"/>
      <c r="V396" s="24"/>
      <c r="W396" s="24"/>
      <c r="X396" s="24"/>
      <c r="Y396" s="29"/>
      <c r="Z396" s="24"/>
      <c r="AA396" s="24"/>
      <c r="AB396" s="24"/>
      <c r="AC396" s="24"/>
      <c r="AD396" s="24"/>
      <c r="AE396" s="24"/>
      <c r="AF396" s="26"/>
      <c r="AG396" s="26"/>
      <c r="AH396" s="26"/>
      <c r="AI396" s="327" t="s">
        <v>740</v>
      </c>
      <c r="AJ396" s="330">
        <v>7</v>
      </c>
      <c r="AK396" s="329">
        <v>0.503</v>
      </c>
      <c r="AL396" s="330">
        <v>3.6</v>
      </c>
      <c r="AM396" s="329">
        <v>0.5</v>
      </c>
      <c r="AN396" s="331">
        <v>1.125</v>
      </c>
      <c r="AO396" s="328">
        <v>13.5</v>
      </c>
      <c r="AP396" s="328">
        <v>16.4</v>
      </c>
    </row>
    <row r="397" spans="20:42" ht="12.75">
      <c r="T397" s="24"/>
      <c r="U397" s="24"/>
      <c r="V397" s="24"/>
      <c r="W397" s="24"/>
      <c r="X397" s="24"/>
      <c r="Y397" s="29"/>
      <c r="Z397" s="24"/>
      <c r="AA397" s="24"/>
      <c r="AB397" s="24"/>
      <c r="AC397" s="24"/>
      <c r="AD397" s="24"/>
      <c r="AE397" s="24"/>
      <c r="AF397" s="26"/>
      <c r="AG397" s="26"/>
      <c r="AH397" s="26"/>
      <c r="AI397" s="327" t="s">
        <v>741</v>
      </c>
      <c r="AJ397" s="330">
        <v>7</v>
      </c>
      <c r="AK397" s="329">
        <v>0.352</v>
      </c>
      <c r="AL397" s="330">
        <v>3.45</v>
      </c>
      <c r="AM397" s="329">
        <v>0.5</v>
      </c>
      <c r="AN397" s="331">
        <v>1.125</v>
      </c>
      <c r="AO397" s="328">
        <v>12.3</v>
      </c>
      <c r="AP397" s="328">
        <v>14.5</v>
      </c>
    </row>
    <row r="398" spans="20:42" ht="12.75">
      <c r="T398" s="24"/>
      <c r="U398" s="24"/>
      <c r="V398" s="24"/>
      <c r="W398" s="24"/>
      <c r="X398" s="24"/>
      <c r="Y398" s="29"/>
      <c r="Z398" s="24"/>
      <c r="AA398" s="24"/>
      <c r="AB398" s="24"/>
      <c r="AC398" s="24"/>
      <c r="AD398" s="24"/>
      <c r="AE398" s="24"/>
      <c r="AF398" s="26"/>
      <c r="AG398" s="26"/>
      <c r="AH398" s="26"/>
      <c r="AI398" s="327" t="s">
        <v>742</v>
      </c>
      <c r="AJ398" s="330">
        <v>6</v>
      </c>
      <c r="AK398" s="329">
        <v>0.379</v>
      </c>
      <c r="AL398" s="330">
        <v>3.5</v>
      </c>
      <c r="AM398" s="329">
        <v>0.475</v>
      </c>
      <c r="AN398" s="331">
        <v>1.0625</v>
      </c>
      <c r="AO398" s="330">
        <v>9.89</v>
      </c>
      <c r="AP398" s="328">
        <v>11.7</v>
      </c>
    </row>
    <row r="399" spans="20:42" ht="12.75">
      <c r="T399" s="24"/>
      <c r="U399" s="24"/>
      <c r="V399" s="24"/>
      <c r="W399" s="24"/>
      <c r="X399" s="24"/>
      <c r="Y399" s="29"/>
      <c r="Z399" s="24"/>
      <c r="AA399" s="24"/>
      <c r="AB399" s="24"/>
      <c r="AC399" s="24"/>
      <c r="AD399" s="24"/>
      <c r="AE399" s="24"/>
      <c r="AF399" s="26"/>
      <c r="AG399" s="26"/>
      <c r="AH399" s="26"/>
      <c r="AI399" s="327" t="s">
        <v>743</v>
      </c>
      <c r="AJ399" s="330">
        <v>6</v>
      </c>
      <c r="AK399" s="329">
        <v>0.34</v>
      </c>
      <c r="AL399" s="330">
        <v>3.5</v>
      </c>
      <c r="AM399" s="329">
        <v>0.385</v>
      </c>
      <c r="AN399" s="331">
        <v>0.875</v>
      </c>
      <c r="AO399" s="330">
        <v>8.44</v>
      </c>
      <c r="AP399" s="330">
        <v>9.91</v>
      </c>
    </row>
    <row r="400" spans="20:42" ht="12.75">
      <c r="T400" s="24"/>
      <c r="U400" s="24"/>
      <c r="V400" s="24"/>
      <c r="W400" s="24"/>
      <c r="X400" s="24"/>
      <c r="Y400" s="29"/>
      <c r="Z400" s="24"/>
      <c r="AA400" s="24"/>
      <c r="AB400" s="24"/>
      <c r="AC400" s="24"/>
      <c r="AD400" s="24"/>
      <c r="AE400" s="24"/>
      <c r="AF400" s="26"/>
      <c r="AG400" s="26"/>
      <c r="AH400" s="26"/>
      <c r="AI400" s="327" t="s">
        <v>744</v>
      </c>
      <c r="AJ400" s="330">
        <v>6</v>
      </c>
      <c r="AK400" s="329">
        <v>0.375</v>
      </c>
      <c r="AL400" s="330">
        <v>3</v>
      </c>
      <c r="AM400" s="329">
        <v>0.475</v>
      </c>
      <c r="AN400" s="331">
        <v>1.0625</v>
      </c>
      <c r="AO400" s="330">
        <v>8.66</v>
      </c>
      <c r="AP400" s="328">
        <v>10.4</v>
      </c>
    </row>
    <row r="401" spans="20:42" ht="12.75">
      <c r="T401" s="24"/>
      <c r="U401" s="24"/>
      <c r="V401" s="24"/>
      <c r="W401" s="24"/>
      <c r="X401" s="24"/>
      <c r="Y401" s="29"/>
      <c r="Z401" s="24"/>
      <c r="AA401" s="24"/>
      <c r="AB401" s="24"/>
      <c r="AC401" s="24"/>
      <c r="AD401" s="24"/>
      <c r="AE401" s="24"/>
      <c r="AF401" s="26"/>
      <c r="AG401" s="26"/>
      <c r="AH401" s="26"/>
      <c r="AI401" s="327" t="s">
        <v>745</v>
      </c>
      <c r="AJ401" s="330">
        <v>6</v>
      </c>
      <c r="AK401" s="329">
        <v>0.316</v>
      </c>
      <c r="AL401" s="330">
        <v>2.94</v>
      </c>
      <c r="AM401" s="329">
        <v>0.475</v>
      </c>
      <c r="AN401" s="331">
        <v>1.0625</v>
      </c>
      <c r="AO401" s="330">
        <v>8.3</v>
      </c>
      <c r="AP401" s="330">
        <v>9.83</v>
      </c>
    </row>
    <row r="402" spans="20:42" ht="12.75">
      <c r="T402" s="24"/>
      <c r="U402" s="24"/>
      <c r="V402" s="24"/>
      <c r="W402" s="24"/>
      <c r="X402" s="24"/>
      <c r="Y402" s="29"/>
      <c r="Z402" s="24"/>
      <c r="AA402" s="24"/>
      <c r="AB402" s="24"/>
      <c r="AC402" s="24"/>
      <c r="AD402" s="24"/>
      <c r="AE402" s="24"/>
      <c r="AF402" s="26"/>
      <c r="AG402" s="26"/>
      <c r="AH402" s="26"/>
      <c r="AI402" s="327" t="s">
        <v>746</v>
      </c>
      <c r="AJ402" s="330">
        <v>6</v>
      </c>
      <c r="AK402" s="329">
        <v>0.31</v>
      </c>
      <c r="AL402" s="330">
        <v>2.5</v>
      </c>
      <c r="AM402" s="329">
        <v>0.375</v>
      </c>
      <c r="AN402" s="331">
        <v>0.875</v>
      </c>
      <c r="AO402" s="330">
        <v>6.24</v>
      </c>
      <c r="AP402" s="330">
        <v>7.47</v>
      </c>
    </row>
    <row r="403" spans="20:42" ht="12.75">
      <c r="T403" s="24"/>
      <c r="U403" s="24"/>
      <c r="V403" s="24"/>
      <c r="W403" s="24"/>
      <c r="X403" s="24"/>
      <c r="Y403" s="29"/>
      <c r="Z403" s="24"/>
      <c r="AA403" s="24"/>
      <c r="AB403" s="24"/>
      <c r="AC403" s="24"/>
      <c r="AD403" s="24"/>
      <c r="AE403" s="24"/>
      <c r="AF403" s="26"/>
      <c r="AG403" s="26"/>
      <c r="AH403" s="26"/>
      <c r="AI403" s="327" t="s">
        <v>747</v>
      </c>
      <c r="AJ403" s="330">
        <v>6</v>
      </c>
      <c r="AK403" s="329">
        <v>0.179</v>
      </c>
      <c r="AL403" s="330">
        <v>1.88</v>
      </c>
      <c r="AM403" s="329">
        <v>0.291</v>
      </c>
      <c r="AN403" s="331">
        <v>0.75</v>
      </c>
      <c r="AO403" s="330">
        <v>3.81</v>
      </c>
      <c r="AP403" s="330">
        <v>4.5</v>
      </c>
    </row>
    <row r="404" spans="20:42" ht="12.75">
      <c r="T404" s="24"/>
      <c r="U404" s="24"/>
      <c r="V404" s="24"/>
      <c r="W404" s="24"/>
      <c r="X404" s="24"/>
      <c r="Y404" s="29"/>
      <c r="Z404" s="24"/>
      <c r="AA404" s="24"/>
      <c r="AB404" s="24"/>
      <c r="AC404" s="24"/>
      <c r="AD404" s="24"/>
      <c r="AE404" s="24"/>
      <c r="AF404" s="26"/>
      <c r="AG404" s="26"/>
      <c r="AH404" s="26"/>
      <c r="AI404" s="327" t="s">
        <v>748</v>
      </c>
      <c r="AJ404" s="330">
        <v>6</v>
      </c>
      <c r="AK404" s="329">
        <v>0.155</v>
      </c>
      <c r="AL404" s="330">
        <v>1.85</v>
      </c>
      <c r="AM404" s="329">
        <v>0.291</v>
      </c>
      <c r="AN404" s="331">
        <v>0.75</v>
      </c>
      <c r="AO404" s="330">
        <v>3.66</v>
      </c>
      <c r="AP404" s="330">
        <v>4.28</v>
      </c>
    </row>
    <row r="405" spans="20:42" ht="12.75">
      <c r="T405" s="24"/>
      <c r="U405" s="24"/>
      <c r="V405" s="24"/>
      <c r="W405" s="24"/>
      <c r="X405" s="24"/>
      <c r="Y405" s="29"/>
      <c r="Z405" s="24"/>
      <c r="AA405" s="24"/>
      <c r="AB405" s="24"/>
      <c r="AC405" s="24"/>
      <c r="AD405" s="24"/>
      <c r="AE405" s="24"/>
      <c r="AF405" s="26"/>
      <c r="AG405" s="26"/>
      <c r="AH405" s="26"/>
      <c r="AI405" s="327" t="s">
        <v>749</v>
      </c>
      <c r="AJ405" s="330">
        <v>4</v>
      </c>
      <c r="AK405" s="329">
        <v>0.5</v>
      </c>
      <c r="AL405" s="330">
        <v>2.5</v>
      </c>
      <c r="AM405" s="329">
        <v>0.5</v>
      </c>
      <c r="AN405" s="331">
        <v>1</v>
      </c>
      <c r="AO405" s="330">
        <v>4.43</v>
      </c>
      <c r="AP405" s="330">
        <v>5.53</v>
      </c>
    </row>
    <row r="406" spans="20:42" ht="12.75">
      <c r="T406" s="24"/>
      <c r="U406" s="24"/>
      <c r="V406" s="24"/>
      <c r="W406" s="24"/>
      <c r="X406" s="24"/>
      <c r="Y406" s="29"/>
      <c r="Z406" s="24"/>
      <c r="AA406" s="24"/>
      <c r="AB406" s="24"/>
      <c r="AC406" s="24"/>
      <c r="AD406" s="24"/>
      <c r="AE406" s="24"/>
      <c r="AF406" s="26"/>
      <c r="AG406" s="26"/>
      <c r="AH406" s="26"/>
      <c r="AI406" s="364" t="s">
        <v>750</v>
      </c>
      <c r="AJ406" s="365">
        <v>3</v>
      </c>
      <c r="AK406" s="366">
        <v>0.312</v>
      </c>
      <c r="AL406" s="365">
        <v>1.94</v>
      </c>
      <c r="AM406" s="366">
        <v>0.351</v>
      </c>
      <c r="AN406" s="376">
        <v>0.8125</v>
      </c>
      <c r="AO406" s="365">
        <v>1.81</v>
      </c>
      <c r="AP406" s="365">
        <v>2.24</v>
      </c>
    </row>
    <row r="407" spans="20:42" ht="12.75">
      <c r="T407" s="24"/>
      <c r="U407" s="24"/>
      <c r="V407" s="24"/>
      <c r="W407" s="24"/>
      <c r="X407" s="24"/>
      <c r="Y407" s="29"/>
      <c r="Z407" s="24"/>
      <c r="AA407" s="24"/>
      <c r="AB407" s="24"/>
      <c r="AC407" s="24"/>
      <c r="AD407" s="24"/>
      <c r="AE407" s="24"/>
      <c r="AF407" s="26"/>
      <c r="AG407" s="26"/>
      <c r="AH407" s="26"/>
      <c r="AI407" s="306"/>
      <c r="AJ407" s="306"/>
      <c r="AK407" s="306"/>
      <c r="AL407" s="306"/>
      <c r="AM407" s="306"/>
      <c r="AN407" s="306"/>
      <c r="AO407" s="306"/>
      <c r="AP407" s="24"/>
    </row>
    <row r="408" spans="20:42" ht="12.75">
      <c r="T408" s="24"/>
      <c r="U408" s="24"/>
      <c r="V408" s="24"/>
      <c r="W408" s="24"/>
      <c r="X408" s="24"/>
      <c r="Y408" s="29"/>
      <c r="Z408" s="24"/>
      <c r="AA408" s="24"/>
      <c r="AB408" s="24"/>
      <c r="AC408" s="24"/>
      <c r="AD408" s="24"/>
      <c r="AE408" s="24"/>
      <c r="AF408" s="26"/>
      <c r="AG408" s="26"/>
      <c r="AH408" s="26"/>
      <c r="AI408" s="307"/>
      <c r="AJ408" s="307"/>
      <c r="AK408" s="307"/>
      <c r="AL408" s="307"/>
      <c r="AM408" s="307"/>
      <c r="AN408" s="307"/>
      <c r="AO408" s="307"/>
      <c r="AP408" s="24"/>
    </row>
    <row r="409" spans="20:42" ht="12.75">
      <c r="T409" s="24"/>
      <c r="U409" s="24"/>
      <c r="V409" s="24"/>
      <c r="W409" s="24"/>
      <c r="X409" s="24"/>
      <c r="Y409" s="29"/>
      <c r="Z409" s="24"/>
      <c r="AA409" s="24"/>
      <c r="AB409" s="24"/>
      <c r="AC409" s="24"/>
      <c r="AD409" s="24"/>
      <c r="AE409" s="24"/>
      <c r="AF409" s="26"/>
      <c r="AG409" s="26"/>
      <c r="AH409" s="26"/>
      <c r="AI409" s="307"/>
      <c r="AJ409" s="307"/>
      <c r="AK409" s="307"/>
      <c r="AL409" s="307"/>
      <c r="AM409" s="307"/>
      <c r="AN409" s="307"/>
      <c r="AO409" s="307"/>
      <c r="AP409" s="24"/>
    </row>
    <row r="410" spans="20:42" ht="12.75">
      <c r="T410" s="24"/>
      <c r="U410" s="24"/>
      <c r="V410" s="24"/>
      <c r="W410" s="24"/>
      <c r="X410" s="24"/>
      <c r="Y410" s="29"/>
      <c r="Z410" s="24"/>
      <c r="AA410" s="24"/>
      <c r="AB410" s="24"/>
      <c r="AC410" s="24"/>
      <c r="AD410" s="24"/>
      <c r="AE410" s="24"/>
      <c r="AF410" s="26"/>
      <c r="AG410" s="26"/>
      <c r="AH410" s="26"/>
      <c r="AI410" s="307"/>
      <c r="AJ410" s="307"/>
      <c r="AK410" s="307"/>
      <c r="AL410" s="307"/>
      <c r="AM410" s="307"/>
      <c r="AN410" s="307"/>
      <c r="AO410" s="307"/>
      <c r="AP410" s="24"/>
    </row>
    <row r="411" spans="20:42" ht="12.75">
      <c r="T411" s="24"/>
      <c r="U411" s="24"/>
      <c r="V411" s="24"/>
      <c r="W411" s="24"/>
      <c r="X411" s="24"/>
      <c r="Y411" s="29"/>
      <c r="Z411" s="24"/>
      <c r="AA411" s="24"/>
      <c r="AB411" s="24"/>
      <c r="AC411" s="24"/>
      <c r="AD411" s="24"/>
      <c r="AE411" s="24"/>
      <c r="AF411" s="26"/>
      <c r="AG411" s="26"/>
      <c r="AH411" s="26"/>
      <c r="AI411" s="307"/>
      <c r="AJ411" s="307"/>
      <c r="AK411" s="307"/>
      <c r="AL411" s="307"/>
      <c r="AM411" s="307"/>
      <c r="AN411" s="307"/>
      <c r="AO411" s="307"/>
      <c r="AP411" s="24"/>
    </row>
    <row r="412" spans="20:42" ht="12.75">
      <c r="T412" s="24"/>
      <c r="U412" s="24"/>
      <c r="V412" s="24"/>
      <c r="W412" s="24"/>
      <c r="X412" s="24"/>
      <c r="Y412" s="29"/>
      <c r="Z412" s="24"/>
      <c r="AA412" s="24"/>
      <c r="AB412" s="24"/>
      <c r="AC412" s="24"/>
      <c r="AD412" s="24"/>
      <c r="AE412" s="24"/>
      <c r="AF412" s="26"/>
      <c r="AG412" s="26"/>
      <c r="AH412" s="26"/>
      <c r="AI412" s="307"/>
      <c r="AJ412" s="307"/>
      <c r="AK412" s="307"/>
      <c r="AL412" s="307"/>
      <c r="AM412" s="307"/>
      <c r="AN412" s="307"/>
      <c r="AO412" s="307"/>
      <c r="AP412" s="24"/>
    </row>
    <row r="413" spans="20:42" ht="12.75">
      <c r="T413" s="24"/>
      <c r="U413" s="24"/>
      <c r="V413" s="24"/>
      <c r="W413" s="24"/>
      <c r="X413" s="24"/>
      <c r="Y413" s="29"/>
      <c r="Z413" s="24"/>
      <c r="AA413" s="24"/>
      <c r="AB413" s="24"/>
      <c r="AC413" s="24"/>
      <c r="AD413" s="24"/>
      <c r="AE413" s="24"/>
      <c r="AF413" s="26"/>
      <c r="AG413" s="26"/>
      <c r="AH413" s="26"/>
      <c r="AI413" s="307"/>
      <c r="AJ413" s="307"/>
      <c r="AK413" s="307"/>
      <c r="AL413" s="307"/>
      <c r="AM413" s="307"/>
      <c r="AN413" s="307"/>
      <c r="AO413" s="307"/>
      <c r="AP413" s="24"/>
    </row>
    <row r="414" spans="20:42" ht="12.75">
      <c r="T414" s="24"/>
      <c r="U414" s="24"/>
      <c r="V414" s="24"/>
      <c r="W414" s="24"/>
      <c r="X414" s="24"/>
      <c r="Y414" s="29"/>
      <c r="Z414" s="24"/>
      <c r="AA414" s="24"/>
      <c r="AB414" s="24"/>
      <c r="AC414" s="24"/>
      <c r="AD414" s="24"/>
      <c r="AE414" s="24"/>
      <c r="AF414" s="26"/>
      <c r="AG414" s="26"/>
      <c r="AH414" s="26"/>
      <c r="AI414" s="307"/>
      <c r="AJ414" s="307"/>
      <c r="AK414" s="307"/>
      <c r="AL414" s="307"/>
      <c r="AM414" s="307"/>
      <c r="AN414" s="307"/>
      <c r="AO414" s="307"/>
      <c r="AP414" s="24"/>
    </row>
    <row r="415" spans="20:42" ht="12.75">
      <c r="T415" s="24"/>
      <c r="U415" s="24"/>
      <c r="V415" s="24"/>
      <c r="W415" s="24"/>
      <c r="X415" s="24"/>
      <c r="Y415" s="29"/>
      <c r="Z415" s="24"/>
      <c r="AA415" s="24"/>
      <c r="AB415" s="24"/>
      <c r="AC415" s="24"/>
      <c r="AD415" s="24"/>
      <c r="AE415" s="24"/>
      <c r="AF415" s="26"/>
      <c r="AG415" s="26"/>
      <c r="AH415" s="26"/>
      <c r="AI415" s="307"/>
      <c r="AJ415" s="307"/>
      <c r="AK415" s="307"/>
      <c r="AL415" s="307"/>
      <c r="AM415" s="307"/>
      <c r="AN415" s="307"/>
      <c r="AO415" s="307"/>
      <c r="AP415" s="24"/>
    </row>
    <row r="416" spans="20:42" ht="12.75">
      <c r="T416" s="24"/>
      <c r="U416" s="24"/>
      <c r="V416" s="24"/>
      <c r="W416" s="24"/>
      <c r="X416" s="24"/>
      <c r="Y416" s="29"/>
      <c r="Z416" s="24"/>
      <c r="AA416" s="24"/>
      <c r="AB416" s="24"/>
      <c r="AC416" s="24"/>
      <c r="AD416" s="24"/>
      <c r="AE416" s="24"/>
      <c r="AF416" s="26"/>
      <c r="AG416" s="26"/>
      <c r="AH416" s="26"/>
      <c r="AI416" s="307"/>
      <c r="AJ416" s="307"/>
      <c r="AK416" s="307"/>
      <c r="AL416" s="307"/>
      <c r="AM416" s="307"/>
      <c r="AN416" s="307"/>
      <c r="AO416" s="307"/>
      <c r="AP416" s="24"/>
    </row>
    <row r="417" spans="20:42" ht="12.75">
      <c r="T417" s="24"/>
      <c r="U417" s="24"/>
      <c r="V417" s="24"/>
      <c r="W417" s="24"/>
      <c r="X417" s="24"/>
      <c r="Y417" s="29"/>
      <c r="Z417" s="24"/>
      <c r="AA417" s="24"/>
      <c r="AB417" s="24"/>
      <c r="AC417" s="24"/>
      <c r="AD417" s="24"/>
      <c r="AE417" s="24"/>
      <c r="AF417" s="26"/>
      <c r="AG417" s="26"/>
      <c r="AH417" s="26"/>
      <c r="AI417" s="307"/>
      <c r="AJ417" s="307"/>
      <c r="AK417" s="307"/>
      <c r="AL417" s="307"/>
      <c r="AM417" s="307"/>
      <c r="AN417" s="307"/>
      <c r="AO417" s="307"/>
      <c r="AP417" s="24"/>
    </row>
    <row r="418" spans="20:42" ht="12.75">
      <c r="T418" s="24"/>
      <c r="U418" s="24"/>
      <c r="V418" s="24"/>
      <c r="W418" s="24"/>
      <c r="X418" s="24"/>
      <c r="Y418" s="29"/>
      <c r="Z418" s="24"/>
      <c r="AA418" s="24"/>
      <c r="AB418" s="24"/>
      <c r="AC418" s="24"/>
      <c r="AD418" s="24"/>
      <c r="AE418" s="24"/>
      <c r="AF418" s="26"/>
      <c r="AG418" s="26"/>
      <c r="AH418" s="26"/>
      <c r="AI418" s="307"/>
      <c r="AJ418" s="307"/>
      <c r="AK418" s="307"/>
      <c r="AL418" s="307"/>
      <c r="AM418" s="307"/>
      <c r="AN418" s="307"/>
      <c r="AO418" s="307"/>
      <c r="AP418" s="24"/>
    </row>
    <row r="419" spans="20:42" ht="12.75">
      <c r="T419" s="24"/>
      <c r="U419" s="24"/>
      <c r="V419" s="24"/>
      <c r="W419" s="24"/>
      <c r="X419" s="24"/>
      <c r="Y419" s="29"/>
      <c r="Z419" s="24"/>
      <c r="AA419" s="24"/>
      <c r="AB419" s="24"/>
      <c r="AC419" s="24"/>
      <c r="AD419" s="24"/>
      <c r="AE419" s="24"/>
      <c r="AF419" s="26"/>
      <c r="AG419" s="26"/>
      <c r="AH419" s="26"/>
      <c r="AI419" s="307"/>
      <c r="AJ419" s="307"/>
      <c r="AK419" s="307"/>
      <c r="AL419" s="307"/>
      <c r="AM419" s="307"/>
      <c r="AN419" s="307"/>
      <c r="AO419" s="307"/>
      <c r="AP419" s="24"/>
    </row>
    <row r="420" spans="20:42" ht="12.75">
      <c r="T420" s="24"/>
      <c r="U420" s="24"/>
      <c r="V420" s="24"/>
      <c r="W420" s="24"/>
      <c r="X420" s="24"/>
      <c r="Y420" s="29"/>
      <c r="Z420" s="24"/>
      <c r="AA420" s="24"/>
      <c r="AB420" s="24"/>
      <c r="AC420" s="24"/>
      <c r="AD420" s="24"/>
      <c r="AE420" s="24"/>
      <c r="AF420" s="26"/>
      <c r="AG420" s="26"/>
      <c r="AH420" s="26"/>
      <c r="AI420" s="307"/>
      <c r="AJ420" s="307"/>
      <c r="AK420" s="307"/>
      <c r="AL420" s="307"/>
      <c r="AM420" s="307"/>
      <c r="AN420" s="307"/>
      <c r="AO420" s="307"/>
      <c r="AP420" s="24"/>
    </row>
    <row r="421" spans="20:42" ht="12.75">
      <c r="T421" s="24"/>
      <c r="U421" s="24"/>
      <c r="V421" s="24"/>
      <c r="W421" s="24"/>
      <c r="X421" s="24"/>
      <c r="Y421" s="29"/>
      <c r="Z421" s="24"/>
      <c r="AA421" s="24"/>
      <c r="AB421" s="24"/>
      <c r="AC421" s="24"/>
      <c r="AD421" s="24"/>
      <c r="AE421" s="24"/>
      <c r="AF421" s="26"/>
      <c r="AG421" s="26"/>
      <c r="AH421" s="26"/>
      <c r="AI421" s="307"/>
      <c r="AJ421" s="307"/>
      <c r="AK421" s="307"/>
      <c r="AL421" s="307"/>
      <c r="AM421" s="307"/>
      <c r="AN421" s="307"/>
      <c r="AO421" s="307"/>
      <c r="AP421" s="24"/>
    </row>
    <row r="422" spans="20:42" ht="12.75">
      <c r="T422" s="24"/>
      <c r="U422" s="24"/>
      <c r="V422" s="24"/>
      <c r="W422" s="24"/>
      <c r="X422" s="24"/>
      <c r="Y422" s="29"/>
      <c r="Z422" s="24"/>
      <c r="AA422" s="24"/>
      <c r="AB422" s="24"/>
      <c r="AC422" s="24"/>
      <c r="AD422" s="24"/>
      <c r="AE422" s="24"/>
      <c r="AF422" s="26"/>
      <c r="AG422" s="26"/>
      <c r="AH422" s="26"/>
      <c r="AI422" s="307"/>
      <c r="AJ422" s="307"/>
      <c r="AK422" s="307"/>
      <c r="AL422" s="307"/>
      <c r="AM422" s="307"/>
      <c r="AN422" s="307"/>
      <c r="AO422" s="307"/>
      <c r="AP422" s="24"/>
    </row>
    <row r="423" spans="20:42" ht="12.75">
      <c r="T423" s="24"/>
      <c r="U423" s="24"/>
      <c r="V423" s="24"/>
      <c r="W423" s="24"/>
      <c r="X423" s="24"/>
      <c r="Y423" s="29"/>
      <c r="Z423" s="24"/>
      <c r="AA423" s="24"/>
      <c r="AB423" s="24"/>
      <c r="AC423" s="24"/>
      <c r="AD423" s="24"/>
      <c r="AE423" s="24"/>
      <c r="AF423" s="26"/>
      <c r="AG423" s="26"/>
      <c r="AH423" s="26"/>
      <c r="AI423" s="307"/>
      <c r="AJ423" s="307"/>
      <c r="AK423" s="307"/>
      <c r="AL423" s="307"/>
      <c r="AM423" s="307"/>
      <c r="AN423" s="307"/>
      <c r="AO423" s="307"/>
      <c r="AP423" s="24"/>
    </row>
    <row r="424" spans="20:42" ht="12.75">
      <c r="T424" s="24"/>
      <c r="U424" s="24"/>
      <c r="V424" s="24"/>
      <c r="W424" s="24"/>
      <c r="X424" s="24"/>
      <c r="Y424" s="29"/>
      <c r="Z424" s="24"/>
      <c r="AA424" s="24"/>
      <c r="AB424" s="24"/>
      <c r="AC424" s="24"/>
      <c r="AD424" s="24"/>
      <c r="AE424" s="24"/>
      <c r="AF424" s="26"/>
      <c r="AG424" s="26"/>
      <c r="AH424" s="26"/>
      <c r="AI424" s="307"/>
      <c r="AJ424" s="307"/>
      <c r="AK424" s="307"/>
      <c r="AL424" s="307"/>
      <c r="AM424" s="307"/>
      <c r="AN424" s="307"/>
      <c r="AO424" s="307"/>
      <c r="AP424" s="24"/>
    </row>
    <row r="425" spans="20:42" ht="12.75">
      <c r="T425" s="24"/>
      <c r="U425" s="24"/>
      <c r="V425" s="24"/>
      <c r="W425" s="24"/>
      <c r="X425" s="24"/>
      <c r="Y425" s="29"/>
      <c r="Z425" s="24"/>
      <c r="AA425" s="24"/>
      <c r="AB425" s="24"/>
      <c r="AC425" s="24"/>
      <c r="AD425" s="24"/>
      <c r="AE425" s="24"/>
      <c r="AF425" s="26"/>
      <c r="AG425" s="26"/>
      <c r="AH425" s="26"/>
      <c r="AI425" s="307"/>
      <c r="AJ425" s="307"/>
      <c r="AK425" s="307"/>
      <c r="AL425" s="307"/>
      <c r="AM425" s="307"/>
      <c r="AN425" s="307"/>
      <c r="AO425" s="307"/>
      <c r="AP425" s="24"/>
    </row>
    <row r="426" spans="20:42" ht="12.75">
      <c r="T426" s="24"/>
      <c r="U426" s="24"/>
      <c r="V426" s="24"/>
      <c r="W426" s="24"/>
      <c r="X426" s="24"/>
      <c r="Y426" s="29"/>
      <c r="Z426" s="24"/>
      <c r="AA426" s="24"/>
      <c r="AB426" s="24"/>
      <c r="AC426" s="24"/>
      <c r="AD426" s="24"/>
      <c r="AE426" s="24"/>
      <c r="AF426" s="26"/>
      <c r="AG426" s="26"/>
      <c r="AH426" s="26"/>
      <c r="AI426" s="307"/>
      <c r="AJ426" s="307"/>
      <c r="AK426" s="307"/>
      <c r="AL426" s="307"/>
      <c r="AM426" s="307"/>
      <c r="AN426" s="307"/>
      <c r="AO426" s="307"/>
      <c r="AP426" s="24"/>
    </row>
    <row r="427" spans="20:42" ht="12.75">
      <c r="T427" s="24"/>
      <c r="U427" s="24"/>
      <c r="V427" s="24"/>
      <c r="W427" s="24"/>
      <c r="X427" s="24"/>
      <c r="Y427" s="29"/>
      <c r="Z427" s="24"/>
      <c r="AA427" s="24"/>
      <c r="AB427" s="24"/>
      <c r="AC427" s="24"/>
      <c r="AD427" s="24"/>
      <c r="AE427" s="24"/>
      <c r="AF427" s="26"/>
      <c r="AG427" s="26"/>
      <c r="AH427" s="26"/>
      <c r="AI427" s="307"/>
      <c r="AJ427" s="307"/>
      <c r="AK427" s="307"/>
      <c r="AL427" s="307"/>
      <c r="AM427" s="307"/>
      <c r="AN427" s="307"/>
      <c r="AO427" s="307"/>
      <c r="AP427" s="24"/>
    </row>
    <row r="428" spans="20:42" ht="12.75">
      <c r="T428" s="24"/>
      <c r="U428" s="24"/>
      <c r="V428" s="24"/>
      <c r="W428" s="24"/>
      <c r="X428" s="24"/>
      <c r="Y428" s="29"/>
      <c r="Z428" s="24"/>
      <c r="AA428" s="24"/>
      <c r="AB428" s="24"/>
      <c r="AC428" s="24"/>
      <c r="AD428" s="24"/>
      <c r="AE428" s="24"/>
      <c r="AF428" s="26"/>
      <c r="AG428" s="26"/>
      <c r="AH428" s="26"/>
      <c r="AI428" s="307"/>
      <c r="AJ428" s="307"/>
      <c r="AK428" s="307"/>
      <c r="AL428" s="307"/>
      <c r="AM428" s="307"/>
      <c r="AN428" s="307"/>
      <c r="AO428" s="307"/>
      <c r="AP428" s="24"/>
    </row>
    <row r="429" spans="20:42" ht="12.75">
      <c r="T429" s="24"/>
      <c r="U429" s="24"/>
      <c r="V429" s="24"/>
      <c r="W429" s="24"/>
      <c r="X429" s="24"/>
      <c r="Y429" s="29"/>
      <c r="Z429" s="24"/>
      <c r="AA429" s="24"/>
      <c r="AB429" s="24"/>
      <c r="AC429" s="24"/>
      <c r="AD429" s="24"/>
      <c r="AE429" s="24"/>
      <c r="AF429" s="26"/>
      <c r="AG429" s="26"/>
      <c r="AH429" s="26"/>
      <c r="AI429" s="307"/>
      <c r="AJ429" s="307"/>
      <c r="AK429" s="307"/>
      <c r="AL429" s="307"/>
      <c r="AM429" s="307"/>
      <c r="AN429" s="307"/>
      <c r="AO429" s="307"/>
      <c r="AP429" s="24"/>
    </row>
    <row r="430" spans="20:42" ht="12.75">
      <c r="T430" s="24"/>
      <c r="U430" s="24"/>
      <c r="V430" s="24"/>
      <c r="W430" s="24"/>
      <c r="X430" s="24"/>
      <c r="Y430" s="29"/>
      <c r="Z430" s="24"/>
      <c r="AA430" s="24"/>
      <c r="AB430" s="24"/>
      <c r="AC430" s="24"/>
      <c r="AD430" s="24"/>
      <c r="AE430" s="24"/>
      <c r="AF430" s="26"/>
      <c r="AG430" s="26"/>
      <c r="AH430" s="26"/>
      <c r="AI430" s="307"/>
      <c r="AJ430" s="307"/>
      <c r="AK430" s="307"/>
      <c r="AL430" s="307"/>
      <c r="AM430" s="307"/>
      <c r="AN430" s="307"/>
      <c r="AO430" s="307"/>
      <c r="AP430" s="24"/>
    </row>
    <row r="431" spans="20:42" ht="12.75">
      <c r="T431" s="24"/>
      <c r="U431" s="24"/>
      <c r="V431" s="24"/>
      <c r="W431" s="24"/>
      <c r="X431" s="24"/>
      <c r="Y431" s="29"/>
      <c r="Z431" s="24"/>
      <c r="AA431" s="24"/>
      <c r="AB431" s="24"/>
      <c r="AC431" s="24"/>
      <c r="AD431" s="24"/>
      <c r="AE431" s="24"/>
      <c r="AF431" s="26"/>
      <c r="AG431" s="26"/>
      <c r="AH431" s="26"/>
      <c r="AI431" s="307"/>
      <c r="AJ431" s="307"/>
      <c r="AK431" s="307"/>
      <c r="AL431" s="307"/>
      <c r="AM431" s="307"/>
      <c r="AN431" s="307"/>
      <c r="AO431" s="307"/>
      <c r="AP431" s="24"/>
    </row>
    <row r="432" spans="20:42" ht="12.75">
      <c r="T432" s="24"/>
      <c r="U432" s="24"/>
      <c r="V432" s="24"/>
      <c r="W432" s="24"/>
      <c r="X432" s="24"/>
      <c r="Y432" s="29"/>
      <c r="Z432" s="24"/>
      <c r="AA432" s="24"/>
      <c r="AB432" s="24"/>
      <c r="AC432" s="24"/>
      <c r="AD432" s="24"/>
      <c r="AE432" s="24"/>
      <c r="AF432" s="26"/>
      <c r="AG432" s="26"/>
      <c r="AH432" s="26"/>
      <c r="AI432" s="24"/>
      <c r="AJ432" s="24"/>
      <c r="AK432" s="24"/>
      <c r="AL432" s="24"/>
      <c r="AM432" s="24"/>
      <c r="AN432" s="24"/>
      <c r="AO432" s="24"/>
      <c r="AP432" s="24"/>
    </row>
    <row r="433" spans="20:42" ht="12.75">
      <c r="T433" s="24"/>
      <c r="U433" s="24"/>
      <c r="V433" s="24"/>
      <c r="W433" s="24"/>
      <c r="X433" s="24"/>
      <c r="Y433" s="29"/>
      <c r="Z433" s="24"/>
      <c r="AA433" s="24"/>
      <c r="AB433" s="24"/>
      <c r="AC433" s="24"/>
      <c r="AD433" s="24"/>
      <c r="AE433" s="24"/>
      <c r="AF433" s="26"/>
      <c r="AG433" s="26"/>
      <c r="AH433" s="26"/>
      <c r="AI433" s="24"/>
      <c r="AJ433" s="24"/>
      <c r="AK433" s="24"/>
      <c r="AL433" s="24"/>
      <c r="AM433" s="24"/>
      <c r="AN433" s="24"/>
      <c r="AO433" s="24"/>
      <c r="AP433" s="24"/>
    </row>
    <row r="434" spans="20:42" ht="12.75">
      <c r="T434" s="24"/>
      <c r="U434" s="24"/>
      <c r="V434" s="24"/>
      <c r="W434" s="24"/>
      <c r="X434" s="24"/>
      <c r="Y434" s="29"/>
      <c r="Z434" s="24"/>
      <c r="AA434" s="24"/>
      <c r="AB434" s="24"/>
      <c r="AC434" s="24"/>
      <c r="AD434" s="24"/>
      <c r="AE434" s="24"/>
      <c r="AF434" s="26"/>
      <c r="AG434" s="26"/>
      <c r="AH434" s="26"/>
      <c r="AI434" s="24"/>
      <c r="AJ434" s="24"/>
      <c r="AK434" s="24"/>
      <c r="AL434" s="24"/>
      <c r="AM434" s="24"/>
      <c r="AN434" s="24"/>
      <c r="AO434" s="24"/>
      <c r="AP434" s="24"/>
    </row>
  </sheetData>
  <sheetProtection sheet="1" objects="1" scenarios="1"/>
  <mergeCells count="2">
    <mergeCell ref="B12:C12"/>
    <mergeCell ref="B10:C10"/>
  </mergeCells>
  <conditionalFormatting sqref="O100">
    <cfRule type="cellIs" priority="1" dxfId="3" operator="notEqual" stopIfTrue="1">
      <formula>"OK"</formula>
    </cfRule>
  </conditionalFormatting>
  <conditionalFormatting sqref="CF6 CF8 CF10 CF12">
    <cfRule type="cellIs" priority="2" dxfId="2" operator="greaterThan" stopIfTrue="1">
      <formula>1</formula>
    </cfRule>
  </conditionalFormatting>
  <conditionalFormatting sqref="B13">
    <cfRule type="expression" priority="3" dxfId="4" stopIfTrue="1">
      <formula>$X$49=2</formula>
    </cfRule>
  </conditionalFormatting>
  <conditionalFormatting sqref="A13">
    <cfRule type="expression" priority="4" dxfId="0" stopIfTrue="1">
      <formula>$X$49=2</formula>
    </cfRule>
  </conditionalFormatting>
  <dataValidations count="24">
    <dataValidation allowBlank="1" showInputMessage="1" showErrorMessage="1" prompt="The support member thickness (ts) would be typically either the thickness of the column flange (tf) or web (tw), or the thickness of the beam web (tw)." sqref="N11"/>
    <dataValidation allowBlank="1" showInputMessage="1" showErrorMessage="1" prompt="User may either select desired size from pick box or type in the size designation.  Note:  input is not case sensitive." sqref="D11"/>
    <dataValidation allowBlank="1" showInputMessage="1" showErrorMessage="1" errorTitle="Warning!" error="Invalid steel yield strength" sqref="N15"/>
    <dataValidation type="list" allowBlank="1" showInputMessage="1" showErrorMessage="1" prompt="User may either select desired size from pick box or type in the size designation.  Note:  input is not case sensitive." sqref="B12">
      <formula1>$AR$5:$AR$129</formula1>
    </dataValidation>
    <dataValidation type="list" allowBlank="1" showInputMessage="1" showErrorMessage="1" prompt="You MUST input &quot;Yes&quot; if the Special Case of the vertical load applied out-of-plane to the weld group is used.  Other wise, input &quot;No&quot; for the standard case of in-plane loading. " sqref="AT150">
      <formula1>$K$12:$K$13</formula1>
    </dataValidation>
    <dataValidation type="list" allowBlank="1" showInputMessage="1" showErrorMessage="1" error="Invalid fillet weld size!" sqref="C24">
      <formula1>$BB$136:$BB$144</formula1>
    </dataValidation>
    <dataValidation type="decimal" operator="greaterThan" allowBlank="1" showInputMessage="1" showErrorMessage="1" prompt="The value 'Pv' is actually the vertical component of the resultant load, 'P'.  'Pv' should always be input as a positive number (&gt;0)." error="The value input MUST BE &gt; 0!" sqref="AT145">
      <formula1>0</formula1>
    </dataValidation>
    <dataValidation type="list" allowBlank="1" showInputMessage="1" showErrorMessage="1" sqref="AT149">
      <formula1>"ASD"</formula1>
    </dataValidation>
    <dataValidation type="list" allowBlank="1" showInputMessage="1" showErrorMessage="1" sqref="B13">
      <formula1>"YES, NO"</formula1>
    </dataValidation>
    <dataValidation type="list" allowBlank="1" showInputMessage="1" showErrorMessage="1" errorTitle="Warning!" error="Invalid steel yield strength" sqref="C18:C19">
      <formula1>$U$3:$U$4</formula1>
    </dataValidation>
    <dataValidation type="list" allowBlank="1" showInputMessage="1" showErrorMessage="1" sqref="C20">
      <formula1>$U$18:$U$23</formula1>
    </dataValidation>
    <dataValidation type="decimal" operator="greaterThanOrEqual" allowBlank="1" showInputMessage="1" showErrorMessage="1" error="The value input MUST BE &gt;= 0.5*(kL)!&#10;Use &quot;Weld Group (elastic)&quot; worksheet." sqref="AT142">
      <formula1>0.5*$C$9</formula1>
    </dataValidation>
    <dataValidation type="decimal" allowBlank="1" showInputMessage="1" showErrorMessage="1" error="The value input MUST BE between 0 and 2*L!&#10;Use &quot;Weld Group (elastic)&quot; worksheet." sqref="AT143">
      <formula1>0</formula1>
      <formula2>2*$C$8</formula2>
    </dataValidation>
    <dataValidation type="decimal" allowBlank="1" showInputMessage="1" showErrorMessage="1" prompt="The value of 'Ph' is actually the horizontal component of the resultant load, 'P'.  'Ph' may be input = 0 for conditions where only vertical load applies.  'Ph' is assumed applied at the C.G. of the weld group.&#10;(The 'Ph' should be &lt; 3.73 x 'Pv')" error="The value input MUST BE &gt;= 0 or &lt; 3.73Pv!" sqref="AT146">
      <formula1>0</formula1>
      <formula2>3.73*$C$11</formula2>
    </dataValidation>
    <dataValidation type="decimal" allowBlank="1" showInputMessage="1" showErrorMessage="1" prompt="The value input here should be the distance from the point of application of the vertical load (Pv) to the C.G. of the weld group." error="The value input MUST BE between 0 and 3*L!" sqref="AT147">
      <formula1>0</formula1>
      <formula2>3*$C$8</formula2>
    </dataValidation>
    <dataValidation type="decimal" allowBlank="1" showInputMessage="1" showErrorMessage="1" error="N + k cannot be greater than the Lh - a&#10;&#10;- or -&#10;&#10;N + k cannot be less than k (Section J10.2)" sqref="C21">
      <formula1>I30</formula1>
      <formula2>$F$26-C22</formula2>
    </dataValidation>
    <dataValidation allowBlank="1" showInputMessage="1" showErrorMessage="1" error="Invalid fillet weld size!" sqref="AT144"/>
    <dataValidation type="list" allowBlank="1" showInputMessage="1" showErrorMessage="1" prompt="If the end of the beam bears directly on the support, then the reply to this question should be &quot;Yes&quot;.  Otherwise, for typically framed beam end connections the reply should be &quot;No&quot;." errorTitle="Warning!" error="Invalid reply" sqref="N13">
      <formula1>$K$5:$K$6</formula1>
    </dataValidation>
    <dataValidation type="decimal" operator="greaterThanOrEqual" allowBlank="1" showInputMessage="1" showErrorMessage="1" prompt="If the end of the beam does not bear directly on the support (reply to previous question is &quot;No&quot;) , then the input here should be N = 0.  For end bearing beams, a value of N = 3.25&quot; is assumed in the AISC Table pages 9-37 to 9-51." errorTitle="Warning!" error="Input value MUST BE &gt; 0 !" sqref="N14">
      <formula1>0</formula1>
    </dataValidation>
    <dataValidation allowBlank="1" showInputMessage="1" showErrorMessage="1" prompt="The value of the beam span (L) which is input should be the smaller of L*12/d  or 72'." sqref="N12"/>
    <dataValidation allowBlank="1" showInputMessage="1" showErrorMessage="1" prompt="User may either select desired size from pick box or type in the size designation.  Note:  input is not case sensitive." sqref="N10"/>
    <dataValidation type="decimal" allowBlank="1" showInputMessage="1" showErrorMessage="1" error="Setback or offset, 'a', can not be greater than horizontal leg length!" sqref="C22">
      <formula1>0</formula1>
      <formula2>F26</formula2>
    </dataValidation>
    <dataValidation type="list" allowBlank="1" showInputMessage="1" showErrorMessage="1" prompt="User may either select desired size from pick box or type in the size designation.  Note:  input is not case sensitive." sqref="B10:C10">
      <formula1>$AI$6:$AI$406</formula1>
    </dataValidation>
    <dataValidation type="decimal" allowBlank="1" showInputMessage="1" showErrorMessage="1" error="Limit of angle width, 'b', is a minimum of  beam flange width, 'bf', and max of 'bf' of bf + 4&quot;." sqref="C23">
      <formula1>I28</formula1>
      <formula2>I28+4</formula2>
    </dataValidation>
  </dataValidations>
  <printOptions/>
  <pageMargins left="0.75" right="0.75" top="1" bottom="1" header="0.5" footer="0.5"/>
  <pageSetup horizontalDpi="600" verticalDpi="600" orientation="portrait" scale="83" r:id="rId4"/>
  <rowBreaks count="1" manualBreakCount="1">
    <brk id="52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"ANGLEFLEXSEAT" Program</dc:title>
  <dc:subject/>
  <dc:creator>David Taylor</dc:creator>
  <cp:keywords>BEARING, SEAT, CONNECTION</cp:keywords>
  <dc:description/>
  <cp:lastModifiedBy>TKA</cp:lastModifiedBy>
  <cp:lastPrinted>2004-12-13T17:40:42Z</cp:lastPrinted>
  <dcterms:created xsi:type="dcterms:W3CDTF">2000-10-29T04:55:39Z</dcterms:created>
  <dcterms:modified xsi:type="dcterms:W3CDTF">2010-06-01T23:07:25Z</dcterms:modified>
  <cp:category>Structural Engineering Analysis/Design</cp:category>
  <cp:version/>
  <cp:contentType/>
  <cp:contentStatus/>
</cp:coreProperties>
</file>